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Sheet1!$A$1:$AC$77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Administrator:审核利息哪边少按哪边计算。按熟低原则</t>
        </r>
      </text>
    </comment>
    <comment ref="X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根据单位填报数据和2023年实际入库数核对，按照熟低原则</t>
        </r>
      </text>
    </comment>
    <comment ref="S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统计数据不对，企业提交的资料6.25万元。</t>
        </r>
      </text>
    </comment>
  </commentList>
</comments>
</file>

<file path=xl/sharedStrings.xml><?xml version="1.0" encoding="utf-8"?>
<sst xmlns="http://schemas.openxmlformats.org/spreadsheetml/2006/main" count="446" uniqueCount="224">
  <si>
    <t xml:space="preserve">茶陵县2023年度中小微工业企业贷款贴息申报企业信息汇总表（定稿）       </t>
  </si>
  <si>
    <t>序号</t>
  </si>
  <si>
    <t>企业信息</t>
  </si>
  <si>
    <t>贷款付息情况</t>
  </si>
  <si>
    <t>企业年纳税（万元）</t>
  </si>
  <si>
    <t>贴息情况（万元）</t>
  </si>
  <si>
    <t>企业名称</t>
  </si>
  <si>
    <t>法人代表</t>
  </si>
  <si>
    <t>电话</t>
  </si>
  <si>
    <t>办理人</t>
  </si>
  <si>
    <t>信用度</t>
  </si>
  <si>
    <t>贷款金额（万元）</t>
  </si>
  <si>
    <t>年利率（%）</t>
  </si>
  <si>
    <t>银行核定利率</t>
  </si>
  <si>
    <t>产生的利息总额</t>
  </si>
  <si>
    <t>贴息比例上限</t>
  </si>
  <si>
    <t>审核应贴利息利率（%）</t>
  </si>
  <si>
    <t>贷款机构</t>
  </si>
  <si>
    <t>借据号(合同编号)</t>
  </si>
  <si>
    <t>起止时间</t>
  </si>
  <si>
    <t>结清情况</t>
  </si>
  <si>
    <t>贷款用途</t>
  </si>
  <si>
    <t>2023年已付利息（万元）</t>
  </si>
  <si>
    <t xml:space="preserve">贴息数 （初算）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</si>
  <si>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利息贴息基数
（万元）</t>
  </si>
  <si>
    <t>审核利息</t>
  </si>
  <si>
    <t>审核利息小计</t>
  </si>
  <si>
    <t>纳税</t>
  </si>
  <si>
    <t>增值税</t>
  </si>
  <si>
    <t>县级留存</t>
  </si>
  <si>
    <t>建议贴息总额 （老）</t>
  </si>
  <si>
    <t>建议贴息总额（新）</t>
  </si>
  <si>
    <t>按文件初步核定金额</t>
  </si>
  <si>
    <t>建议核定金额（同比例下调0.7943）</t>
  </si>
  <si>
    <t>湖南琳铭科技有限公司</t>
  </si>
  <si>
    <t>孔元华</t>
  </si>
  <si>
    <t>1372876****</t>
  </si>
  <si>
    <t>赖建容</t>
  </si>
  <si>
    <t>良好</t>
  </si>
  <si>
    <t>长沙银行股份有限公司茶陵支行</t>
  </si>
  <si>
    <t>2021.8.3-2022.8.2</t>
  </si>
  <si>
    <t>2023.7.27-2024.7.26</t>
  </si>
  <si>
    <t>到期还本按月付息</t>
  </si>
  <si>
    <t>偿还债务</t>
  </si>
  <si>
    <t>2022.7.28-2023.7.27</t>
  </si>
  <si>
    <t>采购原材料</t>
  </si>
  <si>
    <t>贵派电器股份有限公司</t>
  </si>
  <si>
    <t>范桥平</t>
  </si>
  <si>
    <t>1380741****</t>
  </si>
  <si>
    <t>谭志军</t>
  </si>
  <si>
    <t>2022.8.15-2023.8.15</t>
  </si>
  <si>
    <t>2023.9.12-2024.9.12</t>
  </si>
  <si>
    <t>2023.1.11-2024.1.11</t>
  </si>
  <si>
    <t>中国工商银行股份有限公司茶陵支行</t>
  </si>
  <si>
    <t>2023.3.24-2024.3.1</t>
  </si>
  <si>
    <t>湖南省光宇顺电测科技有限公司</t>
  </si>
  <si>
    <t>胡智雄</t>
  </si>
  <si>
    <t>1517338****</t>
  </si>
  <si>
    <t>文琛</t>
  </si>
  <si>
    <t>茶陵浦发村镇银行股份有限公司</t>
  </si>
  <si>
    <t>2022.8.31-2027.8.30</t>
  </si>
  <si>
    <t>计划还款按期付息</t>
  </si>
  <si>
    <t>新厂房工程款</t>
  </si>
  <si>
    <t>2023.3-2026.3</t>
  </si>
  <si>
    <t>购买固定资产</t>
  </si>
  <si>
    <t>2023.7.6-2024.1.5</t>
  </si>
  <si>
    <t>购原材料</t>
  </si>
  <si>
    <t>茶陵县湘南皮革有限公司</t>
  </si>
  <si>
    <t>陈衡</t>
  </si>
  <si>
    <t>1816933****</t>
  </si>
  <si>
    <t>张柏平</t>
  </si>
  <si>
    <t>2022.11-2023.11</t>
  </si>
  <si>
    <t>本息结清</t>
  </si>
  <si>
    <t>湖南泰阳药业有限公司</t>
  </si>
  <si>
    <t>涂跃飞</t>
  </si>
  <si>
    <t>1387495****</t>
  </si>
  <si>
    <t>谭兰平</t>
  </si>
  <si>
    <t>LRP加0.20%</t>
  </si>
  <si>
    <t>中国建行银行股份有限公司茶陵支行</t>
  </si>
  <si>
    <t>2022.4.11-2023.4.11</t>
  </si>
  <si>
    <t>日常生产经营周转</t>
  </si>
  <si>
    <t>2023.07.28-2024.02.28</t>
  </si>
  <si>
    <t>LRP加0.50%</t>
  </si>
  <si>
    <t>LPR加50BP</t>
  </si>
  <si>
    <t>2022.9-2023.9</t>
  </si>
  <si>
    <t>2023.9-2024.9</t>
  </si>
  <si>
    <t>湖南银行（原华融湘江银行）</t>
  </si>
  <si>
    <t>2022.9.16-2023.4.11</t>
  </si>
  <si>
    <t>购买药材</t>
  </si>
  <si>
    <t>中国邮政储蓄银行股份有限公司茶陵县支行</t>
  </si>
  <si>
    <t>2022.8-2023.8</t>
  </si>
  <si>
    <t>采购货物</t>
  </si>
  <si>
    <t>中国银行股份有限公司株洲分行</t>
  </si>
  <si>
    <t>2023.4-2026.4</t>
  </si>
  <si>
    <t>置换贷款</t>
  </si>
  <si>
    <t>湖南省尚竹家居用品有限公司</t>
  </si>
  <si>
    <t>林起恩</t>
  </si>
  <si>
    <t>1817335****</t>
  </si>
  <si>
    <t>王美凤</t>
  </si>
  <si>
    <t>2023.1-2025.1</t>
  </si>
  <si>
    <t>生产资金周转</t>
  </si>
  <si>
    <t>湖南茶陵农村商业银行股份有限公司营业部</t>
  </si>
  <si>
    <t>湖南华耘电子有限公司</t>
  </si>
  <si>
    <t>谭庆华</t>
  </si>
  <si>
    <t>1369197****</t>
  </si>
  <si>
    <t>刘小莉</t>
  </si>
  <si>
    <t>自由还款按月付息</t>
  </si>
  <si>
    <t>长沙银行股份有限公司</t>
  </si>
  <si>
    <t>2023.4-2024.4</t>
  </si>
  <si>
    <t>2023.4.18-2024.4.18</t>
  </si>
  <si>
    <t>到期还本按期还息</t>
  </si>
  <si>
    <t>湖南省春程门业有限公司</t>
  </si>
  <si>
    <t>龙春成</t>
  </si>
  <si>
    <t>1397411****</t>
  </si>
  <si>
    <t>郭碧云</t>
  </si>
  <si>
    <t>湖南茶陵农村商业银行股份有限公司云阳支行</t>
  </si>
  <si>
    <t>2023.1-2023.12</t>
  </si>
  <si>
    <t>中长期流动资金借款</t>
  </si>
  <si>
    <t>LPR加0.93%</t>
  </si>
  <si>
    <t>湖南茶陵农村商业银行股份有限公司</t>
  </si>
  <si>
    <t>2023.1-2025.11</t>
  </si>
  <si>
    <t>2023.1-2026.1</t>
  </si>
  <si>
    <t>2022.3-2025.3</t>
  </si>
  <si>
    <t>2023.2-2026.2</t>
  </si>
  <si>
    <t>株洲晶彩电子科技有限公司</t>
  </si>
  <si>
    <t>尹泽轩</t>
  </si>
  <si>
    <t>1887336****</t>
  </si>
  <si>
    <t>LPR加25BP</t>
  </si>
  <si>
    <t>2022.7-2023.8</t>
  </si>
  <si>
    <t>已结清</t>
  </si>
  <si>
    <t>湖南贝森新材料有限公司</t>
  </si>
  <si>
    <t>廖祯</t>
  </si>
  <si>
    <t>1365269****</t>
  </si>
  <si>
    <t xml:space="preserve"> LPR加115BP</t>
  </si>
  <si>
    <t>2022.7.26-2023.7.25</t>
  </si>
  <si>
    <t>2023.7-2025.7</t>
  </si>
  <si>
    <t>湖南银行股份有限公司茶陵支行</t>
  </si>
  <si>
    <t>2023.11-2024.11</t>
  </si>
  <si>
    <t>2022.8.16-2023.8.16</t>
  </si>
  <si>
    <t>置换他行借款</t>
  </si>
  <si>
    <t>2022.8.30-2023.8.30</t>
  </si>
  <si>
    <t>2023.2-2024.2</t>
  </si>
  <si>
    <t>茶陵县雅派皮具制品有限公司</t>
  </si>
  <si>
    <t>陈小艳</t>
  </si>
  <si>
    <t>1520741****</t>
  </si>
  <si>
    <t>陈小燕</t>
  </si>
  <si>
    <t>LPRJ加93BP</t>
  </si>
  <si>
    <t>2022.12-2023.12</t>
  </si>
  <si>
    <t>采购货款</t>
  </si>
  <si>
    <t>2023.8-2031.8</t>
  </si>
  <si>
    <t>茶陵县丽明雅手袋有限责任公司</t>
  </si>
  <si>
    <t>赖丽平</t>
  </si>
  <si>
    <t>1897419****</t>
  </si>
  <si>
    <t>赵伟祥</t>
  </si>
  <si>
    <t>2022.12-2025.12</t>
  </si>
  <si>
    <t>购买原材料</t>
  </si>
  <si>
    <t>2022.4-2023.4</t>
  </si>
  <si>
    <t>茶陵县荣美包装有限公司</t>
  </si>
  <si>
    <t>涂忠平</t>
  </si>
  <si>
    <t>1771163****</t>
  </si>
  <si>
    <t>2023.7-2024.7</t>
  </si>
  <si>
    <t>中国农业银行股份有限公司茶陵县支行</t>
  </si>
  <si>
    <t>生产经营</t>
  </si>
  <si>
    <t>湖南亿润新材料科技有限公司</t>
  </si>
  <si>
    <t>李慧</t>
  </si>
  <si>
    <t>1837331****</t>
  </si>
  <si>
    <t>2023.11-2024.5</t>
  </si>
  <si>
    <t>2023.6-2024.12</t>
  </si>
  <si>
    <t>2023.6-2023.12</t>
  </si>
  <si>
    <t>中国建设银行股份有限公司茶陵支行</t>
  </si>
  <si>
    <t>2023.8-2024.8</t>
  </si>
  <si>
    <t>湖南斯坦乙金属科技有限公司</t>
  </si>
  <si>
    <t>陈华</t>
  </si>
  <si>
    <t>1360732****</t>
  </si>
  <si>
    <t>2021.10.21-2026.4.20</t>
  </si>
  <si>
    <t>设备机械款</t>
  </si>
  <si>
    <t>2022.9.23-2023.9.22</t>
  </si>
  <si>
    <t>2023.8-2025.8</t>
  </si>
  <si>
    <t>2023.9-2025.9</t>
  </si>
  <si>
    <t>株洲市玫特家居用品有限公司</t>
  </si>
  <si>
    <t>段雪刚</t>
  </si>
  <si>
    <t>1803333****</t>
  </si>
  <si>
    <t>2023.5-2024.5</t>
  </si>
  <si>
    <t>2023.6-2026.5</t>
  </si>
  <si>
    <t>湖南润海玻璃有限公司</t>
  </si>
  <si>
    <t>李运秋</t>
  </si>
  <si>
    <t>1392926****</t>
  </si>
  <si>
    <t>2023.4-2024.3</t>
  </si>
  <si>
    <t>经营周转</t>
  </si>
  <si>
    <t>湖南宝海生物科技有限公司</t>
  </si>
  <si>
    <t>张毅</t>
  </si>
  <si>
    <t>1397330****</t>
  </si>
  <si>
    <t>2023.9-2024.3</t>
  </si>
  <si>
    <t>2023.7-2026.7</t>
  </si>
  <si>
    <t>购买原料</t>
  </si>
  <si>
    <t>湖南省弘富源皮具有限公司</t>
  </si>
  <si>
    <t>刘思捷</t>
  </si>
  <si>
    <t>1767074****</t>
  </si>
  <si>
    <t>2023.8-2026.8</t>
  </si>
  <si>
    <t>每半年还本     按月付息</t>
  </si>
  <si>
    <t>茶陵新亿铂精密模具有限责任公司</t>
  </si>
  <si>
    <t>王建平</t>
  </si>
  <si>
    <t>1371387****</t>
  </si>
  <si>
    <t>计划还本按月付息</t>
  </si>
  <si>
    <t>茶陵晶辉电子实业有限公司</t>
  </si>
  <si>
    <t>焦建</t>
  </si>
  <si>
    <t>1868830****</t>
  </si>
  <si>
    <t>2022.11-2025.11</t>
  </si>
  <si>
    <t>2023.7.27-2024.1.21</t>
  </si>
  <si>
    <t>2022.7.20-2023.7.19</t>
  </si>
  <si>
    <t>湖南省兴博糯米粉食品股份有限公司</t>
  </si>
  <si>
    <t>周建春</t>
  </si>
  <si>
    <t>1333253****</t>
  </si>
  <si>
    <t>2022.8-2024.7</t>
  </si>
  <si>
    <t>株洲市九鼎饲料有限公司</t>
  </si>
  <si>
    <t>陈国文</t>
  </si>
  <si>
    <t>1397535****</t>
  </si>
  <si>
    <t>2022.8-2024.8</t>
  </si>
  <si>
    <t>2022.12-2024.12</t>
  </si>
  <si>
    <t>湖南东昶电机有限公司</t>
  </si>
  <si>
    <t>阳天龙</t>
  </si>
  <si>
    <t>1588948****</t>
  </si>
  <si>
    <t>2020.3-2026.3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</si>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</sst>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%"/>
    <numFmt numFmtId="179" formatCode="0.00;[Red]0.00"/>
  </numFmts>
  <fonts count="33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楷体_GB2312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>
      <alignment vertical="center"/>
    </xf>
    <xf numFmtId="0" fontId="29" fillId="0" borderId="0"/>
    <xf numFmtId="0" fontId="29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top"/>
    </xf>
    <xf numFmtId="0" fontId="0" fillId="0" borderId="0" applyProtection="0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 applyProtection="0">
      <alignment vertical="center"/>
    </xf>
    <xf numFmtId="0" fontId="0" fillId="0" borderId="0"/>
    <xf numFmtId="0" fontId="30" fillId="0" borderId="0"/>
    <xf numFmtId="0" fontId="0" fillId="0" borderId="0">
      <alignment vertical="top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30" fillId="0" borderId="0"/>
    <xf numFmtId="0" fontId="29" fillId="0" borderId="0"/>
    <xf numFmtId="0" fontId="30" fillId="0" borderId="0"/>
    <xf numFmtId="0" fontId="29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97" applyFont="1" applyFill="1" applyBorder="1" applyAlignment="1">
      <alignment horizontal="center" vertical="center" wrapText="1"/>
    </xf>
    <xf numFmtId="0" fontId="1" fillId="0" borderId="1" xfId="97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97" applyNumberFormat="1" applyFont="1" applyFill="1" applyBorder="1" applyAlignment="1">
      <alignment horizontal="center" vertical="center" wrapText="1"/>
    </xf>
    <xf numFmtId="176" fontId="1" fillId="0" borderId="1" xfId="97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97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97" applyNumberFormat="1" applyFont="1" applyFill="1" applyBorder="1" applyAlignment="1">
      <alignment horizontal="center" vertical="center" wrapText="1"/>
    </xf>
    <xf numFmtId="176" fontId="1" fillId="0" borderId="4" xfId="97" applyNumberFormat="1" applyFont="1" applyFill="1" applyBorder="1" applyAlignment="1">
      <alignment horizontal="center" vertical="center" wrapText="1"/>
    </xf>
    <xf numFmtId="176" fontId="1" fillId="0" borderId="3" xfId="97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1" fillId="0" borderId="1" xfId="97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2" xfId="50"/>
    <cellStyle name="常规 6" xfId="51"/>
    <cellStyle name="常规 5 2" xfId="52"/>
    <cellStyle name="常规 12" xfId="53"/>
    <cellStyle name="常规 85" xfId="54"/>
    <cellStyle name="常规 104" xfId="55"/>
    <cellStyle name="常规 8 3" xfId="56"/>
    <cellStyle name="常规 8 2" xfId="57"/>
    <cellStyle name="常规 108" xfId="58"/>
    <cellStyle name="常规 98" xfId="59"/>
    <cellStyle name="常规 7" xfId="60"/>
    <cellStyle name="常规 97" xfId="61"/>
    <cellStyle name="常规 103" xfId="62"/>
    <cellStyle name="常规 5" xfId="63"/>
    <cellStyle name="常规 96" xfId="64"/>
    <cellStyle name="常规 4" xfId="65"/>
    <cellStyle name="常规 4 3" xfId="66"/>
    <cellStyle name="常规 99" xfId="67"/>
    <cellStyle name="常规 105" xfId="68"/>
    <cellStyle name="常规 8" xfId="69"/>
    <cellStyle name="常规 12 3" xfId="70"/>
    <cellStyle name="常规 11 2" xfId="71"/>
    <cellStyle name="常规 7 2" xfId="72"/>
    <cellStyle name="常规 3 3 2" xfId="73"/>
    <cellStyle name="常规 12 2" xfId="74"/>
    <cellStyle name="常规 10 2" xfId="75"/>
    <cellStyle name="常规 9 2" xfId="76"/>
    <cellStyle name="常规 84" xfId="77"/>
    <cellStyle name="常规 79" xfId="78"/>
    <cellStyle name="常规 15 2" xfId="79"/>
    <cellStyle name="常规 2 2" xfId="80"/>
    <cellStyle name="常规 2 3" xfId="81"/>
    <cellStyle name="常规 2 2 2" xfId="82"/>
    <cellStyle name="常规 10 3" xfId="83"/>
    <cellStyle name="常规 11" xfId="84"/>
    <cellStyle name="常规 100" xfId="85"/>
    <cellStyle name="常规 3" xfId="86"/>
    <cellStyle name="常规 28" xfId="87"/>
    <cellStyle name="常规 2 2 3" xfId="88"/>
    <cellStyle name="常规 13 2" xfId="89"/>
    <cellStyle name="常规 17" xfId="90"/>
    <cellStyle name="常规 15" xfId="91"/>
    <cellStyle name="常规 20" xfId="92"/>
    <cellStyle name="常规 3 3" xfId="93"/>
    <cellStyle name="常规 9" xfId="94"/>
    <cellStyle name="常规 19 2" xfId="95"/>
    <cellStyle name="常规 109" xfId="96"/>
    <cellStyle name="常规 19" xfId="97"/>
    <cellStyle name="常规 10" xfId="98"/>
    <cellStyle name="常规 13" xfId="99"/>
    <cellStyle name="常规 83" xfId="100"/>
    <cellStyle name="常规 3 2" xfId="101"/>
    <cellStyle name="常规 4 2 2" xfId="102"/>
    <cellStyle name="常规 14" xfId="103"/>
    <cellStyle name="常规 16" xfId="104"/>
    <cellStyle name="常规 21" xfId="105"/>
    <cellStyle name="常规 18" xfId="106"/>
    <cellStyle name="gcd" xfId="107"/>
    <cellStyle name="常规 14 2" xfId="108"/>
    <cellStyle name="常规 2" xfId="109"/>
    <cellStyle name="常规 73" xfId="110"/>
    <cellStyle name="常规 3 2 2" xfId="111"/>
    <cellStyle name="常规 3 2 3" xfId="112"/>
    <cellStyle name="常规 5 3" xfId="113"/>
    <cellStyle name="常规 138" xfId="114"/>
    <cellStyle name="常规 4 2" xfId="11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1"/>
  <sheetViews>
    <sheetView tabSelected="1" zoomScale="85" zoomScaleNormal="85" workbookViewId="0">
      <pane ySplit="3" topLeftCell="A58" activePane="bottomLeft" state="frozen"/>
      <selection/>
      <selection pane="bottomLeft" activeCell="S83" sqref="S83"/>
    </sheetView>
  </sheetViews>
  <sheetFormatPr defaultColWidth="9" defaultRowHeight="13.5"/>
  <cols>
    <col min="1" max="1" width="4.36666666666667" style="2" customWidth="1"/>
    <col min="2" max="2" width="12" style="3" customWidth="1"/>
    <col min="3" max="3" width="8.125" style="2" customWidth="1"/>
    <col min="4" max="4" width="11.625" style="2" customWidth="1"/>
    <col min="5" max="5" width="6.625" style="2" hidden="1" customWidth="1"/>
    <col min="6" max="6" width="11.5" style="2" hidden="1" customWidth="1"/>
    <col min="7" max="7" width="8.275" style="2" customWidth="1"/>
    <col min="8" max="8" width="7.125" style="2" customWidth="1"/>
    <col min="9" max="9" width="8.125" style="2" hidden="1" customWidth="1"/>
    <col min="10" max="10" width="7" style="2" hidden="1" customWidth="1"/>
    <col min="11" max="12" width="11.25" style="4" hidden="1" customWidth="1"/>
    <col min="13" max="13" width="8.875" style="4" customWidth="1"/>
    <col min="14" max="14" width="12.2333333333333" style="2" customWidth="1"/>
    <col min="15" max="15" width="1.25" style="2" hidden="1" customWidth="1"/>
    <col min="16" max="16" width="11.5" style="2" customWidth="1"/>
    <col min="17" max="17" width="8.5" style="2" customWidth="1"/>
    <col min="18" max="18" width="9.875" style="2" customWidth="1"/>
    <col min="19" max="19" width="10" style="4" customWidth="1"/>
    <col min="20" max="20" width="10.625" style="2" hidden="1" customWidth="1"/>
    <col min="21" max="21" width="20.7333333333333" style="4" customWidth="1"/>
    <col min="22" max="23" width="10.2916666666667" style="4" customWidth="1"/>
    <col min="24" max="24" width="8.375" style="4" customWidth="1"/>
    <col min="25" max="25" width="10.875" style="5" customWidth="1"/>
    <col min="26" max="26" width="9.375" style="4" customWidth="1"/>
    <col min="27" max="27" width="8.25" style="4" hidden="1" customWidth="1"/>
    <col min="28" max="28" width="7.875" style="2" hidden="1" customWidth="1"/>
    <col min="29" max="29" width="14.8416666666667" style="4" customWidth="1"/>
    <col min="30" max="30" width="16.7666666666667" style="4" customWidth="1"/>
    <col min="31" max="31" width="12.625" style="6" hidden="1" customWidth="1"/>
    <col min="32" max="16384" width="9" style="6"/>
  </cols>
  <sheetData>
    <row r="1" ht="74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27" customHeight="1" spans="1:30">
      <c r="A2" s="8" t="s">
        <v>1</v>
      </c>
      <c r="B2" s="8" t="s">
        <v>2</v>
      </c>
      <c r="C2" s="8"/>
      <c r="D2" s="8"/>
      <c r="E2" s="8"/>
      <c r="F2" s="8"/>
      <c r="G2" s="8"/>
      <c r="H2" s="8" t="s">
        <v>3</v>
      </c>
      <c r="I2" s="8"/>
      <c r="J2" s="8"/>
      <c r="K2" s="24"/>
      <c r="L2" s="24"/>
      <c r="M2" s="24"/>
      <c r="N2" s="8"/>
      <c r="O2" s="8"/>
      <c r="P2" s="8"/>
      <c r="Q2" s="8"/>
      <c r="R2" s="8"/>
      <c r="S2" s="24"/>
      <c r="T2" s="8"/>
      <c r="U2" s="24"/>
      <c r="V2" s="24"/>
      <c r="W2" s="24"/>
      <c r="X2" s="40" t="s">
        <v>4</v>
      </c>
      <c r="Y2" s="40"/>
      <c r="Z2" s="40"/>
      <c r="AA2" s="58" t="s">
        <v>5</v>
      </c>
      <c r="AB2" s="58"/>
      <c r="AC2" s="71"/>
      <c r="AD2" s="72" t="s">
        <v>5</v>
      </c>
    </row>
    <row r="3" ht="38.1" customHeight="1" spans="1:31">
      <c r="A3" s="8"/>
      <c r="B3" s="8" t="s">
        <v>6</v>
      </c>
      <c r="C3" s="8" t="s">
        <v>7</v>
      </c>
      <c r="D3" s="8" t="s">
        <v>8</v>
      </c>
      <c r="E3" s="8" t="s">
        <v>9</v>
      </c>
      <c r="F3" s="8" t="s">
        <v>8</v>
      </c>
      <c r="G3" s="8" t="s">
        <v>10</v>
      </c>
      <c r="H3" s="8" t="s">
        <v>11</v>
      </c>
      <c r="I3" s="8" t="s">
        <v>12</v>
      </c>
      <c r="J3" s="8" t="s">
        <v>13</v>
      </c>
      <c r="K3" s="24" t="s">
        <v>14</v>
      </c>
      <c r="L3" s="24" t="s">
        <v>15</v>
      </c>
      <c r="M3" s="32" t="s">
        <v>16</v>
      </c>
      <c r="N3" s="8" t="s">
        <v>17</v>
      </c>
      <c r="O3" s="8" t="s">
        <v>18</v>
      </c>
      <c r="P3" s="8" t="s">
        <v>19</v>
      </c>
      <c r="Q3" s="8" t="s">
        <v>20</v>
      </c>
      <c r="R3" s="8" t="s">
        <v>21</v>
      </c>
      <c r="S3" s="36" t="s">
        <v>22</v>
      </c>
      <c r="T3" s="8" t="s">
        <v>23</v>
      </c>
      <c r="U3" s="24" t="s">
        <v>24</v>
      </c>
      <c r="V3" s="41" t="s">
        <v>25</v>
      </c>
      <c r="W3" s="41" t="s">
        <v>26</v>
      </c>
      <c r="X3" s="41" t="s">
        <v>27</v>
      </c>
      <c r="Y3" s="59" t="s">
        <v>28</v>
      </c>
      <c r="Z3" s="41" t="s">
        <v>29</v>
      </c>
      <c r="AA3" s="8" t="s">
        <v>30</v>
      </c>
      <c r="AB3" s="8" t="s">
        <v>31</v>
      </c>
      <c r="AC3" s="24" t="s">
        <v>32</v>
      </c>
      <c r="AD3" s="24" t="s">
        <v>33</v>
      </c>
      <c r="AE3" s="6">
        <v>0.7943</v>
      </c>
    </row>
    <row r="4" ht="59" customHeight="1" spans="1:30">
      <c r="A4" s="9">
        <v>1</v>
      </c>
      <c r="B4" s="10" t="s">
        <v>34</v>
      </c>
      <c r="C4" s="9" t="s">
        <v>35</v>
      </c>
      <c r="D4" s="9" t="s">
        <v>36</v>
      </c>
      <c r="E4" s="19" t="s">
        <v>37</v>
      </c>
      <c r="F4" s="20">
        <v>18890233969</v>
      </c>
      <c r="G4" s="9" t="s">
        <v>38</v>
      </c>
      <c r="H4" s="21">
        <v>300</v>
      </c>
      <c r="I4" s="25"/>
      <c r="J4" s="25"/>
      <c r="K4" s="26"/>
      <c r="L4" s="26"/>
      <c r="M4" s="25">
        <v>0.0435</v>
      </c>
      <c r="N4" s="10" t="s">
        <v>39</v>
      </c>
      <c r="O4" s="33" t="s">
        <v>40</v>
      </c>
      <c r="P4" s="33" t="s">
        <v>41</v>
      </c>
      <c r="Q4" s="10" t="s">
        <v>42</v>
      </c>
      <c r="R4" s="37" t="s">
        <v>43</v>
      </c>
      <c r="S4" s="38">
        <v>5.647251</v>
      </c>
      <c r="T4" s="9"/>
      <c r="U4" s="42">
        <f>SUM(S4:S5)</f>
        <v>9.730583</v>
      </c>
      <c r="V4" s="42">
        <f>H4*M4*5/12</f>
        <v>5.4375</v>
      </c>
      <c r="W4" s="43">
        <f>V4+V5</f>
        <v>9.0625</v>
      </c>
      <c r="X4" s="26">
        <v>136.27</v>
      </c>
      <c r="Y4" s="60">
        <v>128.735141</v>
      </c>
      <c r="Z4" s="26">
        <v>51.92</v>
      </c>
      <c r="AA4" s="26"/>
      <c r="AB4" s="26"/>
      <c r="AC4" s="26">
        <f>W4*0.4</f>
        <v>3.625</v>
      </c>
      <c r="AD4" s="28">
        <f>AC4*AE3</f>
        <v>2.8793375</v>
      </c>
    </row>
    <row r="5" ht="66" customHeight="1" spans="1:30">
      <c r="A5" s="9"/>
      <c r="B5" s="10"/>
      <c r="C5" s="9"/>
      <c r="D5" s="9"/>
      <c r="E5" s="22"/>
      <c r="F5" s="9"/>
      <c r="G5" s="9"/>
      <c r="H5" s="21">
        <v>200</v>
      </c>
      <c r="I5" s="25"/>
      <c r="J5" s="25"/>
      <c r="K5" s="26"/>
      <c r="L5" s="26"/>
      <c r="M5" s="25">
        <v>0.0435</v>
      </c>
      <c r="N5" s="10" t="s">
        <v>39</v>
      </c>
      <c r="O5" s="33" t="s">
        <v>44</v>
      </c>
      <c r="P5" s="33" t="s">
        <v>41</v>
      </c>
      <c r="Q5" s="10" t="s">
        <v>42</v>
      </c>
      <c r="R5" s="37" t="s">
        <v>45</v>
      </c>
      <c r="S5" s="38">
        <v>4.083332</v>
      </c>
      <c r="T5" s="9"/>
      <c r="U5" s="42"/>
      <c r="V5" s="42">
        <f>H5*M5*5/12</f>
        <v>3.625</v>
      </c>
      <c r="W5" s="44"/>
      <c r="X5" s="26"/>
      <c r="Y5" s="60"/>
      <c r="Z5" s="26"/>
      <c r="AA5" s="26"/>
      <c r="AB5" s="26"/>
      <c r="AC5" s="26"/>
      <c r="AD5" s="28"/>
    </row>
    <row r="6" ht="60" customHeight="1" spans="1:30">
      <c r="A6" s="9">
        <v>2</v>
      </c>
      <c r="B6" s="10" t="s">
        <v>46</v>
      </c>
      <c r="C6" s="9" t="s">
        <v>47</v>
      </c>
      <c r="D6" s="9" t="s">
        <v>48</v>
      </c>
      <c r="E6" s="9" t="s">
        <v>49</v>
      </c>
      <c r="F6" s="9">
        <v>13874112380</v>
      </c>
      <c r="G6" s="9" t="s">
        <v>38</v>
      </c>
      <c r="H6" s="9">
        <v>1300</v>
      </c>
      <c r="I6" s="27">
        <v>0.0512</v>
      </c>
      <c r="J6" s="27">
        <v>0.0512</v>
      </c>
      <c r="K6" s="28">
        <v>405333.33</v>
      </c>
      <c r="L6" s="28"/>
      <c r="M6" s="27">
        <v>0.0425</v>
      </c>
      <c r="N6" s="10" t="s">
        <v>39</v>
      </c>
      <c r="O6" s="9"/>
      <c r="P6" s="10" t="s">
        <v>50</v>
      </c>
      <c r="Q6" s="10" t="s">
        <v>42</v>
      </c>
      <c r="R6" s="37" t="s">
        <v>45</v>
      </c>
      <c r="S6" s="28">
        <v>36.475835</v>
      </c>
      <c r="T6" s="9"/>
      <c r="U6" s="28">
        <f>S6+S7+S8+S9</f>
        <v>100.297281</v>
      </c>
      <c r="V6" s="28">
        <f>H6*M6*7/12</f>
        <v>32.2291666666667</v>
      </c>
      <c r="W6" s="45">
        <f>V6+V7+V8+V9</f>
        <v>92.2391666666667</v>
      </c>
      <c r="X6" s="28">
        <v>358.231099</v>
      </c>
      <c r="Y6" s="61">
        <v>264.430196</v>
      </c>
      <c r="Z6" s="28">
        <v>157.36</v>
      </c>
      <c r="AA6" s="28">
        <v>30</v>
      </c>
      <c r="AB6" s="28">
        <v>30</v>
      </c>
      <c r="AC6" s="28">
        <v>30</v>
      </c>
      <c r="AD6" s="28">
        <f>AC6*AE3</f>
        <v>23.829</v>
      </c>
    </row>
    <row r="7" ht="60" customHeight="1" spans="1:31">
      <c r="A7" s="9"/>
      <c r="B7" s="10"/>
      <c r="C7" s="9"/>
      <c r="D7" s="9"/>
      <c r="E7" s="9"/>
      <c r="F7" s="9"/>
      <c r="G7" s="9"/>
      <c r="H7" s="9">
        <v>1300</v>
      </c>
      <c r="I7" s="27">
        <v>0.057</v>
      </c>
      <c r="J7" s="27">
        <v>0.057</v>
      </c>
      <c r="K7" s="28">
        <v>459800.02</v>
      </c>
      <c r="L7" s="28"/>
      <c r="M7" s="27">
        <v>0.0425</v>
      </c>
      <c r="N7" s="10" t="s">
        <v>39</v>
      </c>
      <c r="O7" s="9"/>
      <c r="P7" s="10" t="s">
        <v>51</v>
      </c>
      <c r="Q7" s="10" t="s">
        <v>42</v>
      </c>
      <c r="R7" s="37" t="s">
        <v>45</v>
      </c>
      <c r="S7" s="28">
        <v>15.347223</v>
      </c>
      <c r="T7" s="9"/>
      <c r="U7" s="28"/>
      <c r="V7" s="28">
        <f>H7*M7*3/12</f>
        <v>13.8125</v>
      </c>
      <c r="W7" s="46"/>
      <c r="X7" s="28"/>
      <c r="Y7" s="61"/>
      <c r="Z7" s="28"/>
      <c r="AA7" s="28"/>
      <c r="AB7" s="28"/>
      <c r="AC7" s="28"/>
      <c r="AD7" s="28"/>
      <c r="AE7" s="73"/>
    </row>
    <row r="8" ht="60" customHeight="1" spans="1:31">
      <c r="A8" s="9"/>
      <c r="B8" s="10"/>
      <c r="C8" s="9"/>
      <c r="D8" s="9"/>
      <c r="E8" s="9"/>
      <c r="F8" s="9"/>
      <c r="G8" s="9"/>
      <c r="H8" s="9">
        <v>500</v>
      </c>
      <c r="I8" s="27">
        <v>0.057</v>
      </c>
      <c r="J8" s="27">
        <v>0.057</v>
      </c>
      <c r="K8" s="28">
        <v>569049.98</v>
      </c>
      <c r="L8" s="28"/>
      <c r="M8" s="27">
        <v>0.0435</v>
      </c>
      <c r="N8" s="10" t="s">
        <v>39</v>
      </c>
      <c r="O8" s="9"/>
      <c r="P8" s="10" t="s">
        <v>52</v>
      </c>
      <c r="Q8" s="10" t="s">
        <v>42</v>
      </c>
      <c r="R8" s="37" t="s">
        <v>45</v>
      </c>
      <c r="S8" s="28">
        <v>22.217279</v>
      </c>
      <c r="T8" s="28"/>
      <c r="U8" s="28"/>
      <c r="V8" s="28">
        <f>H8*M8*11/12</f>
        <v>19.9375</v>
      </c>
      <c r="W8" s="46"/>
      <c r="X8" s="28"/>
      <c r="Y8" s="61"/>
      <c r="Z8" s="28"/>
      <c r="AA8" s="28"/>
      <c r="AB8" s="28"/>
      <c r="AC8" s="28"/>
      <c r="AD8" s="28"/>
      <c r="AE8" s="73"/>
    </row>
    <row r="9" ht="60" customHeight="1" spans="1:30">
      <c r="A9" s="9"/>
      <c r="B9" s="10"/>
      <c r="C9" s="9"/>
      <c r="D9" s="9"/>
      <c r="E9" s="9"/>
      <c r="F9" s="9"/>
      <c r="G9" s="9"/>
      <c r="H9" s="9">
        <v>950</v>
      </c>
      <c r="I9" s="27"/>
      <c r="J9" s="9"/>
      <c r="K9" s="28"/>
      <c r="L9" s="28"/>
      <c r="M9" s="27">
        <v>0.0435</v>
      </c>
      <c r="N9" s="10" t="s">
        <v>53</v>
      </c>
      <c r="O9" s="9"/>
      <c r="P9" s="10" t="s">
        <v>54</v>
      </c>
      <c r="Q9" s="10" t="s">
        <v>42</v>
      </c>
      <c r="R9" s="37" t="s">
        <v>45</v>
      </c>
      <c r="S9" s="28">
        <v>26.256944</v>
      </c>
      <c r="T9" s="9"/>
      <c r="U9" s="28"/>
      <c r="V9" s="28">
        <v>26.26</v>
      </c>
      <c r="W9" s="47"/>
      <c r="X9" s="28"/>
      <c r="Y9" s="61"/>
      <c r="Z9" s="28"/>
      <c r="AA9" s="28"/>
      <c r="AB9" s="28"/>
      <c r="AC9" s="28"/>
      <c r="AD9" s="28"/>
    </row>
    <row r="10" ht="69" customHeight="1" spans="1:30">
      <c r="A10" s="9">
        <v>3</v>
      </c>
      <c r="B10" s="10" t="s">
        <v>55</v>
      </c>
      <c r="C10" s="9" t="s">
        <v>56</v>
      </c>
      <c r="D10" s="9" t="s">
        <v>57</v>
      </c>
      <c r="E10" s="9" t="s">
        <v>58</v>
      </c>
      <c r="F10" s="9">
        <v>18670861542</v>
      </c>
      <c r="G10" s="9" t="s">
        <v>38</v>
      </c>
      <c r="H10" s="9">
        <v>800</v>
      </c>
      <c r="I10" s="10"/>
      <c r="J10" s="25"/>
      <c r="K10" s="26"/>
      <c r="L10" s="26"/>
      <c r="M10" s="25">
        <v>0.038</v>
      </c>
      <c r="N10" s="10" t="s">
        <v>59</v>
      </c>
      <c r="O10" s="9"/>
      <c r="P10" s="10" t="s">
        <v>60</v>
      </c>
      <c r="Q10" s="10" t="s">
        <v>61</v>
      </c>
      <c r="R10" s="10" t="s">
        <v>62</v>
      </c>
      <c r="S10" s="28">
        <v>34.844448</v>
      </c>
      <c r="T10" s="9"/>
      <c r="U10" s="26">
        <f>SUM(S10:S12)</f>
        <v>59.266669</v>
      </c>
      <c r="V10" s="26">
        <f>H10*M10*8/12</f>
        <v>20.2666666666667</v>
      </c>
      <c r="W10" s="48">
        <f>V10+V11+V12</f>
        <v>43.55</v>
      </c>
      <c r="X10" s="26">
        <v>83.68</v>
      </c>
      <c r="Y10" s="60">
        <v>61.05476</v>
      </c>
      <c r="Z10" s="26">
        <v>29.14</v>
      </c>
      <c r="AA10" s="62" t="e">
        <f>S10*0.5+S11*0.5+S12*0.4+#REF!*0.4+#REF!*0.3+#REF!*0.4+#REF!*0.4+#REF!*0.3</f>
        <v>#REF!</v>
      </c>
      <c r="AB10" s="28" t="e">
        <f>(S12+#REF!+#REF!+#REF!+#REF!+#REF!)*0.4</f>
        <v>#REF!</v>
      </c>
      <c r="AC10" s="28">
        <f>Z10/2</f>
        <v>14.57</v>
      </c>
      <c r="AD10" s="28">
        <f>AC10*AE3</f>
        <v>11.572951</v>
      </c>
    </row>
    <row r="11" ht="69" customHeight="1" spans="1:31">
      <c r="A11" s="9"/>
      <c r="B11" s="10"/>
      <c r="C11" s="9"/>
      <c r="D11" s="9"/>
      <c r="E11" s="9"/>
      <c r="F11" s="9"/>
      <c r="G11" s="9"/>
      <c r="H11" s="9">
        <v>700</v>
      </c>
      <c r="I11" s="10"/>
      <c r="J11" s="10"/>
      <c r="K11" s="26"/>
      <c r="L11" s="26"/>
      <c r="M11" s="25">
        <v>0.038</v>
      </c>
      <c r="N11" s="10" t="s">
        <v>59</v>
      </c>
      <c r="O11" s="9"/>
      <c r="P11" s="10" t="s">
        <v>63</v>
      </c>
      <c r="Q11" s="10" t="s">
        <v>61</v>
      </c>
      <c r="R11" s="10" t="s">
        <v>64</v>
      </c>
      <c r="S11" s="28">
        <v>20.688887</v>
      </c>
      <c r="T11" s="9"/>
      <c r="U11" s="26"/>
      <c r="V11" s="26">
        <f>H11*M11*9/12</f>
        <v>19.95</v>
      </c>
      <c r="W11" s="49"/>
      <c r="X11" s="26"/>
      <c r="Y11" s="60"/>
      <c r="Z11" s="26"/>
      <c r="AA11" s="62"/>
      <c r="AB11" s="28"/>
      <c r="AC11" s="28"/>
      <c r="AD11" s="28"/>
      <c r="AE11" s="73"/>
    </row>
    <row r="12" ht="69" customHeight="1" spans="1:31">
      <c r="A12" s="9"/>
      <c r="B12" s="10"/>
      <c r="C12" s="9"/>
      <c r="D12" s="9"/>
      <c r="E12" s="9"/>
      <c r="F12" s="9"/>
      <c r="G12" s="9"/>
      <c r="H12" s="9">
        <v>200</v>
      </c>
      <c r="I12" s="10"/>
      <c r="J12" s="25"/>
      <c r="K12" s="26"/>
      <c r="L12" s="26"/>
      <c r="M12" s="25">
        <v>0.04</v>
      </c>
      <c r="N12" s="10" t="s">
        <v>59</v>
      </c>
      <c r="O12" s="9"/>
      <c r="P12" s="10" t="s">
        <v>65</v>
      </c>
      <c r="Q12" s="10" t="s">
        <v>42</v>
      </c>
      <c r="R12" s="10" t="s">
        <v>66</v>
      </c>
      <c r="S12" s="28">
        <v>3.733334</v>
      </c>
      <c r="T12" s="9"/>
      <c r="U12" s="26"/>
      <c r="V12" s="26">
        <f>H12*M12*5/12</f>
        <v>3.33333333333333</v>
      </c>
      <c r="W12" s="50"/>
      <c r="X12" s="26"/>
      <c r="Y12" s="60"/>
      <c r="Z12" s="26"/>
      <c r="AA12" s="62"/>
      <c r="AB12" s="28"/>
      <c r="AC12" s="28"/>
      <c r="AD12" s="28"/>
      <c r="AE12" s="73"/>
    </row>
    <row r="13" ht="60" customHeight="1" spans="1:30">
      <c r="A13" s="9">
        <v>4</v>
      </c>
      <c r="B13" s="10" t="s">
        <v>67</v>
      </c>
      <c r="C13" s="9" t="s">
        <v>68</v>
      </c>
      <c r="D13" s="9" t="s">
        <v>69</v>
      </c>
      <c r="E13" s="9" t="s">
        <v>70</v>
      </c>
      <c r="F13" s="9">
        <v>13973345628</v>
      </c>
      <c r="G13" s="9" t="s">
        <v>38</v>
      </c>
      <c r="H13" s="21">
        <v>888</v>
      </c>
      <c r="I13" s="27">
        <v>0.0515</v>
      </c>
      <c r="J13" s="27">
        <v>0.0515</v>
      </c>
      <c r="K13" s="28">
        <v>465198.22</v>
      </c>
      <c r="L13" s="28"/>
      <c r="M13" s="27">
        <v>0.0405</v>
      </c>
      <c r="N13" s="10" t="s">
        <v>53</v>
      </c>
      <c r="O13" s="9"/>
      <c r="P13" s="10" t="s">
        <v>71</v>
      </c>
      <c r="Q13" s="9" t="s">
        <v>72</v>
      </c>
      <c r="R13" s="33" t="s">
        <v>43</v>
      </c>
      <c r="S13" s="28">
        <v>36.023841</v>
      </c>
      <c r="T13" s="37">
        <v>39.98</v>
      </c>
      <c r="U13" s="28">
        <v>36.02</v>
      </c>
      <c r="V13" s="28">
        <f>H13*M13*11/12</f>
        <v>32.967</v>
      </c>
      <c r="W13" s="28">
        <f>V13</f>
        <v>32.967</v>
      </c>
      <c r="X13" s="28">
        <v>256.86</v>
      </c>
      <c r="Y13" s="28">
        <v>232.852981</v>
      </c>
      <c r="Z13" s="62">
        <v>94.36</v>
      </c>
      <c r="AA13" s="62">
        <v>12.1</v>
      </c>
      <c r="AB13" s="28">
        <v>16.13</v>
      </c>
      <c r="AC13" s="28">
        <f>W13*0.4</f>
        <v>13.1868</v>
      </c>
      <c r="AD13" s="28">
        <f>13.19*AE3</f>
        <v>10.476817</v>
      </c>
    </row>
    <row r="14" ht="40.5" spans="1:30">
      <c r="A14" s="9">
        <v>5</v>
      </c>
      <c r="B14" s="11" t="s">
        <v>73</v>
      </c>
      <c r="C14" s="12" t="s">
        <v>74</v>
      </c>
      <c r="D14" s="12" t="s">
        <v>75</v>
      </c>
      <c r="E14" s="12" t="s">
        <v>76</v>
      </c>
      <c r="F14" s="12">
        <v>15115351388</v>
      </c>
      <c r="G14" s="12" t="s">
        <v>38</v>
      </c>
      <c r="H14" s="12">
        <v>400</v>
      </c>
      <c r="I14" s="11" t="s">
        <v>77</v>
      </c>
      <c r="J14" s="29">
        <v>0.04351</v>
      </c>
      <c r="K14" s="30">
        <v>201348.29</v>
      </c>
      <c r="L14" s="30"/>
      <c r="M14" s="29">
        <v>0.0435</v>
      </c>
      <c r="N14" s="11" t="s">
        <v>78</v>
      </c>
      <c r="O14" s="12"/>
      <c r="P14" s="29" t="s">
        <v>79</v>
      </c>
      <c r="Q14" s="11" t="s">
        <v>42</v>
      </c>
      <c r="R14" s="11" t="s">
        <v>80</v>
      </c>
      <c r="S14" s="39">
        <v>2.706666</v>
      </c>
      <c r="T14" s="12">
        <v>86.31</v>
      </c>
      <c r="U14" s="30">
        <f>SUM(S14:S21)</f>
        <v>107.041143</v>
      </c>
      <c r="V14" s="39">
        <v>2.71</v>
      </c>
      <c r="W14" s="51">
        <f>V14+V15+V16+V17+V18+V19+V20+V21</f>
        <v>92.06</v>
      </c>
      <c r="X14" s="39">
        <v>502.31</v>
      </c>
      <c r="Y14" s="63">
        <v>380.026202</v>
      </c>
      <c r="Z14" s="62">
        <v>204.79</v>
      </c>
      <c r="AA14" s="62" t="e">
        <f>(S14+S16+S17+#REF!+#REF!+#REF!)*0.3</f>
        <v>#REF!</v>
      </c>
      <c r="AB14" s="39">
        <v>30</v>
      </c>
      <c r="AC14" s="39">
        <v>30</v>
      </c>
      <c r="AD14" s="28">
        <f>AC14*AE3</f>
        <v>23.829</v>
      </c>
    </row>
    <row r="15" ht="40.5" spans="1:30">
      <c r="A15" s="9"/>
      <c r="B15" s="11"/>
      <c r="C15" s="12"/>
      <c r="D15" s="12"/>
      <c r="E15" s="12"/>
      <c r="F15" s="12"/>
      <c r="G15" s="12"/>
      <c r="H15" s="12">
        <v>400</v>
      </c>
      <c r="I15" s="11"/>
      <c r="J15" s="29"/>
      <c r="K15" s="30"/>
      <c r="L15" s="30"/>
      <c r="M15" s="29">
        <v>0.04</v>
      </c>
      <c r="N15" s="11" t="s">
        <v>78</v>
      </c>
      <c r="O15" s="12"/>
      <c r="P15" s="11" t="s">
        <v>81</v>
      </c>
      <c r="Q15" s="11" t="s">
        <v>42</v>
      </c>
      <c r="R15" s="11" t="s">
        <v>80</v>
      </c>
      <c r="S15" s="39">
        <v>13.155555</v>
      </c>
      <c r="T15" s="12"/>
      <c r="U15" s="30"/>
      <c r="V15" s="39">
        <f>H15*M15*5/12</f>
        <v>6.66666666666667</v>
      </c>
      <c r="W15" s="52"/>
      <c r="X15" s="39"/>
      <c r="Y15" s="63"/>
      <c r="Z15" s="62"/>
      <c r="AA15" s="62"/>
      <c r="AB15" s="39"/>
      <c r="AC15" s="39"/>
      <c r="AD15" s="28"/>
    </row>
    <row r="16" ht="40.5" spans="1:30">
      <c r="A16" s="9"/>
      <c r="B16" s="11"/>
      <c r="C16" s="12"/>
      <c r="D16" s="12"/>
      <c r="E16" s="12"/>
      <c r="F16" s="12"/>
      <c r="G16" s="12"/>
      <c r="H16" s="12">
        <v>650</v>
      </c>
      <c r="I16" s="11" t="s">
        <v>82</v>
      </c>
      <c r="J16" s="29">
        <v>0.04351</v>
      </c>
      <c r="K16" s="30">
        <v>148064.56</v>
      </c>
      <c r="L16" s="30"/>
      <c r="M16" s="29">
        <v>0.04</v>
      </c>
      <c r="N16" s="11" t="s">
        <v>78</v>
      </c>
      <c r="O16" s="12"/>
      <c r="P16" s="11" t="s">
        <v>71</v>
      </c>
      <c r="Q16" s="11" t="s">
        <v>42</v>
      </c>
      <c r="R16" s="11" t="s">
        <v>80</v>
      </c>
      <c r="S16" s="39">
        <v>23.400001</v>
      </c>
      <c r="T16" s="12"/>
      <c r="U16" s="30"/>
      <c r="V16" s="39">
        <v>23.4</v>
      </c>
      <c r="W16" s="52"/>
      <c r="X16" s="39"/>
      <c r="Y16" s="63"/>
      <c r="Z16" s="62"/>
      <c r="AA16" s="62"/>
      <c r="AB16" s="39"/>
      <c r="AC16" s="39"/>
      <c r="AD16" s="28"/>
    </row>
    <row r="17" ht="40.5" spans="1:30">
      <c r="A17" s="9"/>
      <c r="B17" s="11"/>
      <c r="C17" s="12"/>
      <c r="D17" s="12"/>
      <c r="E17" s="12"/>
      <c r="F17" s="12"/>
      <c r="G17" s="12"/>
      <c r="H17" s="12">
        <v>950</v>
      </c>
      <c r="I17" s="11" t="s">
        <v>83</v>
      </c>
      <c r="J17" s="29"/>
      <c r="K17" s="30"/>
      <c r="L17" s="30"/>
      <c r="M17" s="29">
        <v>0.0355</v>
      </c>
      <c r="N17" s="11" t="s">
        <v>78</v>
      </c>
      <c r="O17" s="12"/>
      <c r="P17" s="11" t="s">
        <v>84</v>
      </c>
      <c r="Q17" s="11" t="s">
        <v>42</v>
      </c>
      <c r="R17" s="11" t="s">
        <v>80</v>
      </c>
      <c r="S17" s="39">
        <v>18.077778</v>
      </c>
      <c r="T17" s="12"/>
      <c r="U17" s="30"/>
      <c r="V17" s="39">
        <v>18.08</v>
      </c>
      <c r="W17" s="52"/>
      <c r="X17" s="39"/>
      <c r="Y17" s="63"/>
      <c r="Z17" s="62"/>
      <c r="AA17" s="62"/>
      <c r="AB17" s="39"/>
      <c r="AC17" s="39"/>
      <c r="AD17" s="28"/>
    </row>
    <row r="18" ht="40.5" spans="1:30">
      <c r="A18" s="9"/>
      <c r="B18" s="11"/>
      <c r="C18" s="12"/>
      <c r="D18" s="12"/>
      <c r="E18" s="12"/>
      <c r="F18" s="12"/>
      <c r="G18" s="12"/>
      <c r="H18" s="12">
        <v>950</v>
      </c>
      <c r="I18" s="11"/>
      <c r="J18" s="29"/>
      <c r="K18" s="30"/>
      <c r="L18" s="30"/>
      <c r="M18" s="29">
        <v>0.04</v>
      </c>
      <c r="N18" s="11" t="s">
        <v>78</v>
      </c>
      <c r="O18" s="12"/>
      <c r="P18" s="11" t="s">
        <v>85</v>
      </c>
      <c r="Q18" s="11" t="s">
        <v>42</v>
      </c>
      <c r="R18" s="11" t="s">
        <v>80</v>
      </c>
      <c r="S18" s="39">
        <v>8.618611</v>
      </c>
      <c r="T18" s="12"/>
      <c r="U18" s="30"/>
      <c r="V18" s="39">
        <v>8.62</v>
      </c>
      <c r="W18" s="52"/>
      <c r="X18" s="39"/>
      <c r="Y18" s="63"/>
      <c r="Z18" s="62"/>
      <c r="AA18" s="62"/>
      <c r="AB18" s="39"/>
      <c r="AC18" s="39"/>
      <c r="AD18" s="28"/>
    </row>
    <row r="19" ht="40.5" spans="1:30">
      <c r="A19" s="9"/>
      <c r="B19" s="11"/>
      <c r="C19" s="12"/>
      <c r="D19" s="12"/>
      <c r="E19" s="12"/>
      <c r="F19" s="12"/>
      <c r="G19" s="12"/>
      <c r="H19" s="12">
        <v>500</v>
      </c>
      <c r="I19" s="11"/>
      <c r="J19" s="29"/>
      <c r="K19" s="30"/>
      <c r="L19" s="30"/>
      <c r="M19" s="29">
        <v>0.042</v>
      </c>
      <c r="N19" s="11" t="s">
        <v>86</v>
      </c>
      <c r="O19" s="12"/>
      <c r="P19" s="11" t="s">
        <v>87</v>
      </c>
      <c r="Q19" s="11" t="s">
        <v>42</v>
      </c>
      <c r="R19" s="11" t="s">
        <v>88</v>
      </c>
      <c r="S19" s="39">
        <v>6.474999</v>
      </c>
      <c r="T19" s="12"/>
      <c r="U19" s="30"/>
      <c r="V19" s="39">
        <f>H19*M19*3/12</f>
        <v>5.25</v>
      </c>
      <c r="W19" s="52"/>
      <c r="X19" s="39"/>
      <c r="Y19" s="63"/>
      <c r="Z19" s="62"/>
      <c r="AA19" s="62"/>
      <c r="AB19" s="39"/>
      <c r="AC19" s="39"/>
      <c r="AD19" s="28"/>
    </row>
    <row r="20" ht="54" spans="1:30">
      <c r="A20" s="9"/>
      <c r="B20" s="11"/>
      <c r="C20" s="12"/>
      <c r="D20" s="12"/>
      <c r="E20" s="12"/>
      <c r="F20" s="12"/>
      <c r="G20" s="12"/>
      <c r="H20" s="12">
        <v>500</v>
      </c>
      <c r="I20" s="11"/>
      <c r="J20" s="29"/>
      <c r="K20" s="30"/>
      <c r="L20" s="30"/>
      <c r="M20" s="29">
        <v>0.0435</v>
      </c>
      <c r="N20" s="11" t="s">
        <v>89</v>
      </c>
      <c r="O20" s="12"/>
      <c r="P20" s="11" t="s">
        <v>90</v>
      </c>
      <c r="Q20" s="11" t="s">
        <v>42</v>
      </c>
      <c r="R20" s="11" t="s">
        <v>91</v>
      </c>
      <c r="S20" s="39">
        <v>20.42972</v>
      </c>
      <c r="T20" s="12"/>
      <c r="U20" s="30"/>
      <c r="V20" s="30">
        <f>H20*M20*8/12</f>
        <v>14.5</v>
      </c>
      <c r="W20" s="52"/>
      <c r="X20" s="39"/>
      <c r="Y20" s="63"/>
      <c r="Z20" s="62"/>
      <c r="AA20" s="62"/>
      <c r="AB20" s="39"/>
      <c r="AC20" s="39"/>
      <c r="AD20" s="28"/>
    </row>
    <row r="21" ht="40.5" spans="1:30">
      <c r="A21" s="9"/>
      <c r="B21" s="11"/>
      <c r="C21" s="12"/>
      <c r="D21" s="12"/>
      <c r="E21" s="12"/>
      <c r="F21" s="12"/>
      <c r="G21" s="12"/>
      <c r="H21" s="10">
        <v>500</v>
      </c>
      <c r="I21" s="10"/>
      <c r="J21" s="10"/>
      <c r="K21" s="26"/>
      <c r="L21" s="26"/>
      <c r="M21" s="25">
        <v>0.0385</v>
      </c>
      <c r="N21" s="10" t="s">
        <v>92</v>
      </c>
      <c r="O21" s="10"/>
      <c r="P21" s="10" t="s">
        <v>93</v>
      </c>
      <c r="Q21" s="10" t="s">
        <v>61</v>
      </c>
      <c r="R21" s="10" t="s">
        <v>94</v>
      </c>
      <c r="S21" s="26">
        <v>14.177813</v>
      </c>
      <c r="T21" s="12"/>
      <c r="U21" s="30"/>
      <c r="V21" s="26">
        <f>H21*M21*8/12</f>
        <v>12.8333333333333</v>
      </c>
      <c r="W21" s="53"/>
      <c r="X21" s="39"/>
      <c r="Y21" s="63"/>
      <c r="Z21" s="62"/>
      <c r="AA21" s="62"/>
      <c r="AB21" s="39"/>
      <c r="AC21" s="39"/>
      <c r="AD21" s="28"/>
    </row>
    <row r="22" ht="75" customHeight="1" spans="1:30">
      <c r="A22" s="9">
        <v>6</v>
      </c>
      <c r="B22" s="10" t="s">
        <v>95</v>
      </c>
      <c r="C22" s="10" t="s">
        <v>96</v>
      </c>
      <c r="D22" s="10" t="s">
        <v>97</v>
      </c>
      <c r="E22" s="9" t="s">
        <v>98</v>
      </c>
      <c r="F22" s="9">
        <v>18173359701</v>
      </c>
      <c r="G22" s="9" t="s">
        <v>38</v>
      </c>
      <c r="H22" s="9">
        <v>845</v>
      </c>
      <c r="I22" s="31">
        <v>0.047</v>
      </c>
      <c r="J22" s="31">
        <v>0.0435</v>
      </c>
      <c r="K22" s="26">
        <v>397440.45</v>
      </c>
      <c r="L22" s="26"/>
      <c r="M22" s="25">
        <v>0.0435</v>
      </c>
      <c r="N22" s="10" t="s">
        <v>78</v>
      </c>
      <c r="O22" s="9"/>
      <c r="P22" s="10" t="s">
        <v>99</v>
      </c>
      <c r="Q22" s="10" t="s">
        <v>42</v>
      </c>
      <c r="R22" s="10" t="s">
        <v>100</v>
      </c>
      <c r="S22" s="28">
        <v>36.677719</v>
      </c>
      <c r="T22" s="28"/>
      <c r="U22" s="26">
        <f>SUM(S22:S23)</f>
        <v>51.357719</v>
      </c>
      <c r="V22" s="26">
        <f>H22*M22*11/12</f>
        <v>33.694375</v>
      </c>
      <c r="W22" s="48">
        <f>V22+V23</f>
        <v>46.744375</v>
      </c>
      <c r="X22" s="28">
        <v>53.15</v>
      </c>
      <c r="Y22" s="60">
        <v>37.494762</v>
      </c>
      <c r="Z22" s="62">
        <v>25.77</v>
      </c>
      <c r="AA22" s="28">
        <f>S22*0.3</f>
        <v>11.0033157</v>
      </c>
      <c r="AB22" s="28">
        <f>S22*0.4</f>
        <v>14.6710876</v>
      </c>
      <c r="AC22" s="28">
        <f>Z22/2</f>
        <v>12.885</v>
      </c>
      <c r="AD22" s="28">
        <f>AC22*AE3</f>
        <v>10.2345555</v>
      </c>
    </row>
    <row r="23" ht="75" customHeight="1" spans="1:30">
      <c r="A23" s="9"/>
      <c r="B23" s="10"/>
      <c r="C23" s="10"/>
      <c r="D23" s="10"/>
      <c r="E23" s="9"/>
      <c r="F23" s="9"/>
      <c r="G23" s="9"/>
      <c r="H23" s="9">
        <v>400</v>
      </c>
      <c r="I23" s="25"/>
      <c r="J23" s="25"/>
      <c r="K23" s="26"/>
      <c r="L23" s="28"/>
      <c r="M23" s="27">
        <v>0.0435</v>
      </c>
      <c r="N23" s="10" t="s">
        <v>101</v>
      </c>
      <c r="O23" s="9"/>
      <c r="P23" s="10" t="s">
        <v>63</v>
      </c>
      <c r="Q23" s="10" t="s">
        <v>42</v>
      </c>
      <c r="R23" s="9" t="s">
        <v>66</v>
      </c>
      <c r="S23" s="28">
        <v>14.68</v>
      </c>
      <c r="T23" s="9"/>
      <c r="U23" s="26"/>
      <c r="V23" s="26">
        <f>H23*M23*9/12</f>
        <v>13.05</v>
      </c>
      <c r="W23" s="49"/>
      <c r="X23" s="28"/>
      <c r="Y23" s="60"/>
      <c r="Z23" s="62"/>
      <c r="AA23" s="28"/>
      <c r="AB23" s="28"/>
      <c r="AC23" s="28"/>
      <c r="AD23" s="28"/>
    </row>
    <row r="24" ht="67" customHeight="1" spans="1:30">
      <c r="A24" s="9">
        <v>7</v>
      </c>
      <c r="B24" s="10" t="s">
        <v>102</v>
      </c>
      <c r="C24" s="9" t="s">
        <v>103</v>
      </c>
      <c r="D24" s="9" t="s">
        <v>104</v>
      </c>
      <c r="E24" s="9" t="s">
        <v>105</v>
      </c>
      <c r="F24" s="9">
        <v>18359185516</v>
      </c>
      <c r="G24" s="9" t="s">
        <v>38</v>
      </c>
      <c r="H24" s="9">
        <v>500</v>
      </c>
      <c r="I24" s="25"/>
      <c r="J24" s="25"/>
      <c r="K24" s="26"/>
      <c r="L24" s="26"/>
      <c r="M24" s="25">
        <v>0.0435</v>
      </c>
      <c r="N24" s="10" t="s">
        <v>39</v>
      </c>
      <c r="O24" s="9"/>
      <c r="P24" s="10" t="s">
        <v>63</v>
      </c>
      <c r="Q24" s="10" t="s">
        <v>106</v>
      </c>
      <c r="R24" s="9" t="s">
        <v>45</v>
      </c>
      <c r="S24" s="28">
        <v>17.978424</v>
      </c>
      <c r="T24" s="9"/>
      <c r="U24" s="26">
        <f>SUM(S24:S26)</f>
        <v>29.087932</v>
      </c>
      <c r="V24" s="26">
        <f>H24*M24*9/12</f>
        <v>16.3125</v>
      </c>
      <c r="W24" s="26">
        <f>V24+V25+V26</f>
        <v>26.9471666666667</v>
      </c>
      <c r="X24" s="28">
        <v>229.18</v>
      </c>
      <c r="Y24" s="61">
        <v>196.195834</v>
      </c>
      <c r="Z24" s="28">
        <v>86.04</v>
      </c>
      <c r="AA24" s="28" t="e">
        <f>(S24+#REF!)*0.5</f>
        <v>#REF!</v>
      </c>
      <c r="AB24" s="28" t="e">
        <f>(S24+#REF!)*0.1</f>
        <v>#REF!</v>
      </c>
      <c r="AC24" s="28">
        <f>W24*0.4</f>
        <v>10.7788666666667</v>
      </c>
      <c r="AD24" s="28">
        <f>AC24*AE3</f>
        <v>8.56165379333336</v>
      </c>
    </row>
    <row r="25" ht="67" customHeight="1" spans="1:30">
      <c r="A25" s="9"/>
      <c r="B25" s="10"/>
      <c r="C25" s="9"/>
      <c r="D25" s="9"/>
      <c r="E25" s="9"/>
      <c r="F25" s="9"/>
      <c r="G25" s="9"/>
      <c r="H25" s="9">
        <v>104</v>
      </c>
      <c r="I25" s="25"/>
      <c r="J25" s="25"/>
      <c r="K25" s="26"/>
      <c r="L25" s="26"/>
      <c r="M25" s="25">
        <v>0.038</v>
      </c>
      <c r="N25" s="10" t="s">
        <v>107</v>
      </c>
      <c r="O25" s="9"/>
      <c r="P25" s="10" t="s">
        <v>108</v>
      </c>
      <c r="Q25" s="10" t="s">
        <v>106</v>
      </c>
      <c r="R25" s="9" t="s">
        <v>91</v>
      </c>
      <c r="S25" s="28">
        <v>2.876176</v>
      </c>
      <c r="T25" s="9"/>
      <c r="U25" s="26"/>
      <c r="V25" s="26">
        <f>H25*M25*8/12</f>
        <v>2.63466666666667</v>
      </c>
      <c r="W25" s="26"/>
      <c r="X25" s="28"/>
      <c r="Y25" s="61"/>
      <c r="Z25" s="28"/>
      <c r="AA25" s="28"/>
      <c r="AB25" s="28"/>
      <c r="AC25" s="28"/>
      <c r="AD25" s="28"/>
    </row>
    <row r="26" ht="67" customHeight="1" spans="1:30">
      <c r="A26" s="9"/>
      <c r="B26" s="10"/>
      <c r="C26" s="9"/>
      <c r="D26" s="9"/>
      <c r="E26" s="9"/>
      <c r="F26" s="9"/>
      <c r="G26" s="9"/>
      <c r="H26" s="9">
        <v>300</v>
      </c>
      <c r="I26" s="25"/>
      <c r="J26" s="25"/>
      <c r="K26" s="26"/>
      <c r="L26" s="26"/>
      <c r="M26" s="25">
        <v>0.04</v>
      </c>
      <c r="N26" s="10" t="s">
        <v>92</v>
      </c>
      <c r="O26" s="9"/>
      <c r="P26" s="10" t="s">
        <v>109</v>
      </c>
      <c r="Q26" s="10" t="s">
        <v>110</v>
      </c>
      <c r="R26" s="9" t="s">
        <v>45</v>
      </c>
      <c r="S26" s="28">
        <v>8.233332</v>
      </c>
      <c r="T26" s="9"/>
      <c r="U26" s="26"/>
      <c r="V26" s="26">
        <f>H26*M26*8/12</f>
        <v>8</v>
      </c>
      <c r="W26" s="26"/>
      <c r="X26" s="28"/>
      <c r="Y26" s="61"/>
      <c r="Z26" s="28"/>
      <c r="AA26" s="28"/>
      <c r="AB26" s="28"/>
      <c r="AC26" s="28"/>
      <c r="AD26" s="28"/>
    </row>
    <row r="27" ht="54" spans="1:30">
      <c r="A27" s="9">
        <v>8</v>
      </c>
      <c r="B27" s="10" t="s">
        <v>111</v>
      </c>
      <c r="C27" s="9" t="s">
        <v>112</v>
      </c>
      <c r="D27" s="9" t="s">
        <v>113</v>
      </c>
      <c r="E27" s="9" t="s">
        <v>114</v>
      </c>
      <c r="F27" s="9">
        <v>18692633982</v>
      </c>
      <c r="G27" s="9" t="s">
        <v>38</v>
      </c>
      <c r="H27" s="9">
        <v>1500</v>
      </c>
      <c r="I27" s="25">
        <v>0.0828</v>
      </c>
      <c r="J27" s="25">
        <v>0.082801</v>
      </c>
      <c r="K27" s="26">
        <v>1515248.35</v>
      </c>
      <c r="L27" s="26">
        <f>H27*4.25/100*205/360</f>
        <v>36.3020833333333</v>
      </c>
      <c r="M27" s="25">
        <v>0.0435</v>
      </c>
      <c r="N27" s="34" t="s">
        <v>115</v>
      </c>
      <c r="O27" s="9"/>
      <c r="P27" s="34" t="s">
        <v>116</v>
      </c>
      <c r="Q27" s="10" t="s">
        <v>42</v>
      </c>
      <c r="R27" s="10" t="s">
        <v>117</v>
      </c>
      <c r="S27" s="28">
        <v>86.77</v>
      </c>
      <c r="T27" s="9"/>
      <c r="U27" s="26">
        <f>SUM(S27:S31)</f>
        <v>142.590209</v>
      </c>
      <c r="V27" s="26">
        <f>H27*M27</f>
        <v>65.25</v>
      </c>
      <c r="W27" s="48">
        <f>V27+V28++V29+V30+V31</f>
        <v>101.8625</v>
      </c>
      <c r="X27" s="28">
        <v>55.20079</v>
      </c>
      <c r="Y27" s="61">
        <v>39.082095</v>
      </c>
      <c r="Z27" s="28">
        <v>25.6</v>
      </c>
      <c r="AA27" s="28">
        <v>30</v>
      </c>
      <c r="AB27" s="28">
        <v>30</v>
      </c>
      <c r="AC27" s="28">
        <f>Z27/2</f>
        <v>12.8</v>
      </c>
      <c r="AD27" s="28">
        <f>AC27*AE3</f>
        <v>10.16704</v>
      </c>
    </row>
    <row r="28" ht="49" customHeight="1" spans="1:30">
      <c r="A28" s="9"/>
      <c r="B28" s="10"/>
      <c r="C28" s="9"/>
      <c r="D28" s="9"/>
      <c r="E28" s="9"/>
      <c r="F28" s="9"/>
      <c r="G28" s="9"/>
      <c r="H28" s="9">
        <v>300</v>
      </c>
      <c r="I28" s="25" t="s">
        <v>118</v>
      </c>
      <c r="J28" s="25">
        <v>0.0385</v>
      </c>
      <c r="K28" s="26">
        <v>139402.2</v>
      </c>
      <c r="L28" s="26"/>
      <c r="M28" s="25">
        <v>0.0435</v>
      </c>
      <c r="N28" s="34" t="s">
        <v>119</v>
      </c>
      <c r="O28" s="9"/>
      <c r="P28" s="34" t="s">
        <v>120</v>
      </c>
      <c r="Q28" s="10" t="s">
        <v>42</v>
      </c>
      <c r="R28" s="10" t="s">
        <v>45</v>
      </c>
      <c r="S28" s="28">
        <v>17.52</v>
      </c>
      <c r="T28" s="9"/>
      <c r="U28" s="26"/>
      <c r="V28" s="26">
        <f>H28*M28</f>
        <v>13.05</v>
      </c>
      <c r="W28" s="49"/>
      <c r="X28" s="28"/>
      <c r="Y28" s="61"/>
      <c r="Z28" s="28"/>
      <c r="AA28" s="28"/>
      <c r="AB28" s="28"/>
      <c r="AC28" s="28"/>
      <c r="AD28" s="28"/>
    </row>
    <row r="29" ht="52" customHeight="1" spans="1:30">
      <c r="A29" s="9"/>
      <c r="B29" s="10"/>
      <c r="C29" s="9"/>
      <c r="D29" s="9"/>
      <c r="E29" s="9"/>
      <c r="F29" s="9"/>
      <c r="G29" s="9"/>
      <c r="H29" s="9">
        <v>300</v>
      </c>
      <c r="I29" s="25"/>
      <c r="J29" s="25"/>
      <c r="K29" s="26"/>
      <c r="L29" s="26"/>
      <c r="M29" s="25">
        <v>0.0435</v>
      </c>
      <c r="N29" s="34" t="s">
        <v>119</v>
      </c>
      <c r="O29" s="9"/>
      <c r="P29" s="34" t="s">
        <v>121</v>
      </c>
      <c r="Q29" s="10" t="s">
        <v>42</v>
      </c>
      <c r="R29" s="10" t="s">
        <v>45</v>
      </c>
      <c r="S29" s="28">
        <v>12.51</v>
      </c>
      <c r="T29" s="9"/>
      <c r="U29" s="26"/>
      <c r="V29" s="26">
        <f>H29*M29</f>
        <v>13.05</v>
      </c>
      <c r="W29" s="49"/>
      <c r="X29" s="28"/>
      <c r="Y29" s="61"/>
      <c r="Z29" s="28"/>
      <c r="AA29" s="28"/>
      <c r="AB29" s="28"/>
      <c r="AC29" s="28"/>
      <c r="AD29" s="28"/>
    </row>
    <row r="30" ht="51" customHeight="1" spans="1:30">
      <c r="A30" s="9"/>
      <c r="B30" s="10"/>
      <c r="C30" s="9"/>
      <c r="D30" s="9"/>
      <c r="E30" s="9"/>
      <c r="F30" s="9"/>
      <c r="G30" s="9"/>
      <c r="H30" s="9">
        <v>300</v>
      </c>
      <c r="I30" s="25"/>
      <c r="J30" s="25"/>
      <c r="K30" s="26"/>
      <c r="L30" s="26"/>
      <c r="M30" s="25">
        <v>0.0435</v>
      </c>
      <c r="N30" s="33" t="s">
        <v>39</v>
      </c>
      <c r="O30" s="9"/>
      <c r="P30" s="33" t="s">
        <v>122</v>
      </c>
      <c r="Q30" s="10" t="s">
        <v>106</v>
      </c>
      <c r="R30" s="10" t="s">
        <v>45</v>
      </c>
      <c r="S30" s="28">
        <v>17.640833</v>
      </c>
      <c r="T30" s="9"/>
      <c r="U30" s="26"/>
      <c r="V30" s="26">
        <f>H30*M30*3/12</f>
        <v>3.2625</v>
      </c>
      <c r="W30" s="49"/>
      <c r="X30" s="28"/>
      <c r="Y30" s="61"/>
      <c r="Z30" s="28"/>
      <c r="AA30" s="28"/>
      <c r="AB30" s="28"/>
      <c r="AC30" s="28"/>
      <c r="AD30" s="28"/>
    </row>
    <row r="31" ht="53" customHeight="1" spans="1:30">
      <c r="A31" s="9"/>
      <c r="B31" s="10"/>
      <c r="C31" s="9"/>
      <c r="D31" s="9"/>
      <c r="E31" s="9"/>
      <c r="F31" s="9"/>
      <c r="G31" s="9"/>
      <c r="H31" s="9">
        <v>200</v>
      </c>
      <c r="I31" s="25"/>
      <c r="J31" s="25"/>
      <c r="K31" s="26"/>
      <c r="L31" s="26"/>
      <c r="M31" s="25">
        <v>0.0435</v>
      </c>
      <c r="N31" s="33" t="s">
        <v>39</v>
      </c>
      <c r="O31" s="9"/>
      <c r="P31" s="33" t="s">
        <v>123</v>
      </c>
      <c r="Q31" s="10" t="s">
        <v>106</v>
      </c>
      <c r="R31" s="10" t="s">
        <v>45</v>
      </c>
      <c r="S31" s="28">
        <v>8.149376</v>
      </c>
      <c r="T31" s="9"/>
      <c r="U31" s="26"/>
      <c r="V31" s="26">
        <f>H31*M31*10/12</f>
        <v>7.25</v>
      </c>
      <c r="W31" s="49"/>
      <c r="X31" s="28"/>
      <c r="Y31" s="61"/>
      <c r="Z31" s="28"/>
      <c r="AA31" s="28"/>
      <c r="AB31" s="28"/>
      <c r="AC31" s="28"/>
      <c r="AD31" s="28"/>
    </row>
    <row r="32" s="1" customFormat="1" ht="54" customHeight="1" spans="1:30">
      <c r="A32" s="9">
        <v>9</v>
      </c>
      <c r="B32" s="10" t="s">
        <v>124</v>
      </c>
      <c r="C32" s="9" t="s">
        <v>125</v>
      </c>
      <c r="D32" s="9" t="s">
        <v>126</v>
      </c>
      <c r="E32" s="9" t="s">
        <v>125</v>
      </c>
      <c r="F32" s="9">
        <v>18873363873</v>
      </c>
      <c r="G32" s="9" t="s">
        <v>38</v>
      </c>
      <c r="H32" s="22">
        <v>500</v>
      </c>
      <c r="I32" s="10" t="s">
        <v>127</v>
      </c>
      <c r="J32" s="22"/>
      <c r="K32" s="22"/>
      <c r="L32" s="22"/>
      <c r="M32" s="25">
        <v>0.033</v>
      </c>
      <c r="N32" s="10" t="s">
        <v>92</v>
      </c>
      <c r="O32" s="22"/>
      <c r="P32" s="10" t="s">
        <v>128</v>
      </c>
      <c r="Q32" s="10" t="s">
        <v>129</v>
      </c>
      <c r="R32" s="10" t="s">
        <v>45</v>
      </c>
      <c r="S32" s="28">
        <v>6.32</v>
      </c>
      <c r="T32" s="9">
        <v>51.63</v>
      </c>
      <c r="U32" s="28">
        <f>S32</f>
        <v>6.32</v>
      </c>
      <c r="V32" s="28">
        <v>6.32</v>
      </c>
      <c r="W32" s="28">
        <f>V32</f>
        <v>6.32</v>
      </c>
      <c r="X32" s="28">
        <v>735.238005</v>
      </c>
      <c r="Y32" s="64">
        <v>625.11628</v>
      </c>
      <c r="Z32" s="28">
        <v>295.61</v>
      </c>
      <c r="AA32" s="28" t="e">
        <f>(#REF!+#REF!+#REF!+S32)*0.3</f>
        <v>#REF!</v>
      </c>
      <c r="AB32" s="28" t="e">
        <f>(#REF!+#REF!+#REF!+S32)*0.4</f>
        <v>#REF!</v>
      </c>
      <c r="AC32" s="28">
        <f>W32*0.4</f>
        <v>2.528</v>
      </c>
      <c r="AD32" s="28">
        <f>AC32*AE3</f>
        <v>2.0079904</v>
      </c>
    </row>
    <row r="33" s="1" customFormat="1" ht="57" customHeight="1" spans="1:30">
      <c r="A33" s="9">
        <v>10</v>
      </c>
      <c r="B33" s="10" t="s">
        <v>130</v>
      </c>
      <c r="C33" s="9" t="s">
        <v>131</v>
      </c>
      <c r="D33" s="9" t="s">
        <v>132</v>
      </c>
      <c r="E33" s="9" t="s">
        <v>131</v>
      </c>
      <c r="F33" s="9">
        <v>13652690688</v>
      </c>
      <c r="G33" s="9" t="s">
        <v>38</v>
      </c>
      <c r="H33" s="22">
        <v>500</v>
      </c>
      <c r="I33" s="10" t="s">
        <v>133</v>
      </c>
      <c r="J33" s="22"/>
      <c r="K33" s="22"/>
      <c r="L33" s="22"/>
      <c r="M33" s="25">
        <v>0.0422</v>
      </c>
      <c r="N33" s="10" t="s">
        <v>89</v>
      </c>
      <c r="O33" s="22"/>
      <c r="P33" s="10" t="s">
        <v>134</v>
      </c>
      <c r="Q33" s="10" t="s">
        <v>42</v>
      </c>
      <c r="R33" s="9" t="s">
        <v>66</v>
      </c>
      <c r="S33" s="28">
        <v>9.675091</v>
      </c>
      <c r="T33" s="9"/>
      <c r="U33" s="28">
        <f>SUM(S33:S38)</f>
        <v>37.464286</v>
      </c>
      <c r="V33" s="28">
        <v>9.68</v>
      </c>
      <c r="W33" s="45">
        <f>V33+V34+V35+V36+V37+V38</f>
        <v>35.965</v>
      </c>
      <c r="X33" s="28">
        <v>79.03</v>
      </c>
      <c r="Y33" s="64">
        <v>71.762653</v>
      </c>
      <c r="Z33" s="64">
        <v>31.96</v>
      </c>
      <c r="AA33" s="9">
        <f>S33*0.3</f>
        <v>2.9025273</v>
      </c>
      <c r="AB33" s="28">
        <f>U33*0.4</f>
        <v>14.9857144</v>
      </c>
      <c r="AC33" s="28">
        <f>W33*0.4</f>
        <v>14.386</v>
      </c>
      <c r="AD33" s="28">
        <f>AC33*AE3</f>
        <v>11.4267998</v>
      </c>
    </row>
    <row r="34" s="1" customFormat="1" ht="67" customHeight="1" spans="1:30">
      <c r="A34" s="9"/>
      <c r="B34" s="10"/>
      <c r="C34" s="9"/>
      <c r="D34" s="9"/>
      <c r="E34" s="9"/>
      <c r="F34" s="9"/>
      <c r="G34" s="9"/>
      <c r="H34" s="10">
        <v>397.1</v>
      </c>
      <c r="I34" s="10"/>
      <c r="J34" s="10"/>
      <c r="K34" s="10"/>
      <c r="L34" s="10"/>
      <c r="M34" s="25">
        <v>0.0385</v>
      </c>
      <c r="N34" s="10" t="s">
        <v>89</v>
      </c>
      <c r="O34" s="10"/>
      <c r="P34" s="10" t="s">
        <v>135</v>
      </c>
      <c r="Q34" s="10" t="s">
        <v>42</v>
      </c>
      <c r="R34" s="9" t="s">
        <v>66</v>
      </c>
      <c r="S34" s="28">
        <v>6.157808</v>
      </c>
      <c r="T34" s="9"/>
      <c r="U34" s="28"/>
      <c r="V34" s="28">
        <v>6.16</v>
      </c>
      <c r="W34" s="46"/>
      <c r="X34" s="28"/>
      <c r="Y34" s="64"/>
      <c r="Z34" s="64"/>
      <c r="AA34" s="9"/>
      <c r="AB34" s="28"/>
      <c r="AC34" s="28"/>
      <c r="AD34" s="28"/>
    </row>
    <row r="35" s="1" customFormat="1" ht="57" customHeight="1" spans="1:30">
      <c r="A35" s="9"/>
      <c r="B35" s="10"/>
      <c r="C35" s="9"/>
      <c r="D35" s="9"/>
      <c r="E35" s="9"/>
      <c r="F35" s="9"/>
      <c r="G35" s="9"/>
      <c r="H35" s="22">
        <v>500</v>
      </c>
      <c r="I35" s="10"/>
      <c r="J35" s="22"/>
      <c r="K35" s="22"/>
      <c r="L35" s="22"/>
      <c r="M35" s="25">
        <v>0.038</v>
      </c>
      <c r="N35" s="10" t="s">
        <v>136</v>
      </c>
      <c r="O35" s="22"/>
      <c r="P35" s="10" t="s">
        <v>137</v>
      </c>
      <c r="Q35" s="10" t="s">
        <v>42</v>
      </c>
      <c r="R35" s="9" t="s">
        <v>66</v>
      </c>
      <c r="S35" s="28">
        <v>1.794444</v>
      </c>
      <c r="T35" s="9"/>
      <c r="U35" s="28"/>
      <c r="V35" s="28">
        <f>H35*M35*1/12</f>
        <v>1.58333333333333</v>
      </c>
      <c r="W35" s="46"/>
      <c r="X35" s="28"/>
      <c r="Y35" s="64"/>
      <c r="Z35" s="64"/>
      <c r="AA35" s="9"/>
      <c r="AB35" s="28"/>
      <c r="AC35" s="28"/>
      <c r="AD35" s="28"/>
    </row>
    <row r="36" s="1" customFormat="1" ht="57" customHeight="1" spans="1:30">
      <c r="A36" s="9"/>
      <c r="B36" s="10"/>
      <c r="C36" s="9"/>
      <c r="D36" s="9"/>
      <c r="E36" s="9"/>
      <c r="F36" s="9"/>
      <c r="G36" s="9"/>
      <c r="H36" s="22">
        <v>500</v>
      </c>
      <c r="I36" s="10"/>
      <c r="J36" s="22"/>
      <c r="K36" s="22"/>
      <c r="L36" s="22"/>
      <c r="M36" s="25">
        <v>0.037</v>
      </c>
      <c r="N36" s="10" t="s">
        <v>92</v>
      </c>
      <c r="O36" s="22"/>
      <c r="P36" s="10" t="s">
        <v>138</v>
      </c>
      <c r="Q36" s="10" t="s">
        <v>42</v>
      </c>
      <c r="R36" s="10" t="s">
        <v>139</v>
      </c>
      <c r="S36" s="28">
        <v>12.72639</v>
      </c>
      <c r="T36" s="9"/>
      <c r="U36" s="28"/>
      <c r="V36" s="28">
        <f>H36*M36*7/12</f>
        <v>10.7916666666667</v>
      </c>
      <c r="W36" s="46"/>
      <c r="X36" s="28"/>
      <c r="Y36" s="64"/>
      <c r="Z36" s="64"/>
      <c r="AA36" s="9"/>
      <c r="AB36" s="28"/>
      <c r="AC36" s="28"/>
      <c r="AD36" s="28"/>
    </row>
    <row r="37" s="1" customFormat="1" ht="57" customHeight="1" spans="1:30">
      <c r="A37" s="9"/>
      <c r="B37" s="10"/>
      <c r="C37" s="9"/>
      <c r="D37" s="9"/>
      <c r="E37" s="9"/>
      <c r="F37" s="9"/>
      <c r="G37" s="9"/>
      <c r="H37" s="22">
        <v>200</v>
      </c>
      <c r="I37" s="10"/>
      <c r="J37" s="22"/>
      <c r="K37" s="22"/>
      <c r="L37" s="22"/>
      <c r="M37" s="25">
        <v>0.039</v>
      </c>
      <c r="N37" s="10" t="s">
        <v>39</v>
      </c>
      <c r="O37" s="22"/>
      <c r="P37" s="10" t="s">
        <v>140</v>
      </c>
      <c r="Q37" s="10" t="s">
        <v>129</v>
      </c>
      <c r="R37" s="9" t="s">
        <v>66</v>
      </c>
      <c r="S37" s="28">
        <v>1.495001</v>
      </c>
      <c r="T37" s="9"/>
      <c r="U37" s="28"/>
      <c r="V37" s="28">
        <v>1.5</v>
      </c>
      <c r="W37" s="46"/>
      <c r="X37" s="28"/>
      <c r="Y37" s="64"/>
      <c r="Z37" s="64"/>
      <c r="AA37" s="9"/>
      <c r="AB37" s="28"/>
      <c r="AC37" s="28"/>
      <c r="AD37" s="28"/>
    </row>
    <row r="38" s="1" customFormat="1" ht="57" customHeight="1" spans="1:30">
      <c r="A38" s="9"/>
      <c r="B38" s="10"/>
      <c r="C38" s="9"/>
      <c r="D38" s="9"/>
      <c r="E38" s="9"/>
      <c r="F38" s="9"/>
      <c r="G38" s="9"/>
      <c r="H38" s="22">
        <v>200</v>
      </c>
      <c r="I38" s="10"/>
      <c r="J38" s="22"/>
      <c r="K38" s="22"/>
      <c r="L38" s="22"/>
      <c r="M38" s="25">
        <v>0.038</v>
      </c>
      <c r="N38" s="10" t="s">
        <v>39</v>
      </c>
      <c r="O38" s="22"/>
      <c r="P38" s="10" t="s">
        <v>141</v>
      </c>
      <c r="Q38" s="10" t="s">
        <v>129</v>
      </c>
      <c r="R38" s="9" t="s">
        <v>66</v>
      </c>
      <c r="S38" s="28">
        <v>5.615552</v>
      </c>
      <c r="T38" s="9"/>
      <c r="U38" s="28"/>
      <c r="V38" s="28">
        <v>6.25</v>
      </c>
      <c r="W38" s="47"/>
      <c r="X38" s="28"/>
      <c r="Y38" s="64"/>
      <c r="Z38" s="64"/>
      <c r="AA38" s="9"/>
      <c r="AB38" s="28"/>
      <c r="AC38" s="28"/>
      <c r="AD38" s="28"/>
    </row>
    <row r="39" s="1" customFormat="1" ht="65" customHeight="1" spans="1:30">
      <c r="A39" s="9">
        <v>11</v>
      </c>
      <c r="B39" s="10" t="s">
        <v>142</v>
      </c>
      <c r="C39" s="9" t="s">
        <v>143</v>
      </c>
      <c r="D39" s="9" t="s">
        <v>144</v>
      </c>
      <c r="E39" s="9" t="s">
        <v>145</v>
      </c>
      <c r="F39" s="9">
        <v>15207413066</v>
      </c>
      <c r="G39" s="9" t="s">
        <v>38</v>
      </c>
      <c r="H39" s="22">
        <v>475</v>
      </c>
      <c r="I39" s="10" t="s">
        <v>146</v>
      </c>
      <c r="J39" s="22"/>
      <c r="K39" s="22"/>
      <c r="L39" s="22"/>
      <c r="M39" s="25">
        <v>0.0435</v>
      </c>
      <c r="N39" s="10" t="s">
        <v>89</v>
      </c>
      <c r="O39" s="22"/>
      <c r="P39" s="33" t="s">
        <v>147</v>
      </c>
      <c r="Q39" s="10" t="s">
        <v>42</v>
      </c>
      <c r="R39" s="9" t="s">
        <v>148</v>
      </c>
      <c r="S39" s="28">
        <v>13.372052</v>
      </c>
      <c r="T39" s="9"/>
      <c r="U39" s="28">
        <f>S39+S40</f>
        <v>24.127605</v>
      </c>
      <c r="V39" s="28">
        <v>13.37</v>
      </c>
      <c r="W39" s="45">
        <f>V39+V40</f>
        <v>24.13</v>
      </c>
      <c r="X39" s="28">
        <v>23.26</v>
      </c>
      <c r="Y39" s="64">
        <v>18.716364</v>
      </c>
      <c r="Z39" s="62">
        <v>10.14</v>
      </c>
      <c r="AA39" s="9">
        <f>S39*0.3</f>
        <v>4.0116156</v>
      </c>
      <c r="AB39" s="28">
        <f>U39*0.1</f>
        <v>2.4127605</v>
      </c>
      <c r="AC39" s="28">
        <f>W39*0.2</f>
        <v>4.826</v>
      </c>
      <c r="AD39" s="28">
        <f>AC39*AE3</f>
        <v>3.8332918</v>
      </c>
    </row>
    <row r="40" s="1" customFormat="1" ht="65" customHeight="1" spans="1:30">
      <c r="A40" s="9"/>
      <c r="B40" s="10"/>
      <c r="C40" s="9"/>
      <c r="D40" s="9"/>
      <c r="E40" s="9"/>
      <c r="F40" s="9"/>
      <c r="G40" s="9"/>
      <c r="H40" s="22">
        <v>800</v>
      </c>
      <c r="I40" s="10"/>
      <c r="J40" s="22"/>
      <c r="K40" s="22"/>
      <c r="L40" s="22"/>
      <c r="M40" s="25">
        <v>0.04</v>
      </c>
      <c r="N40" s="10" t="s">
        <v>89</v>
      </c>
      <c r="O40" s="22"/>
      <c r="P40" s="10" t="s">
        <v>149</v>
      </c>
      <c r="Q40" s="10" t="s">
        <v>42</v>
      </c>
      <c r="R40" s="9" t="s">
        <v>148</v>
      </c>
      <c r="S40" s="28">
        <v>10.755553</v>
      </c>
      <c r="T40" s="9"/>
      <c r="U40" s="28"/>
      <c r="V40" s="28">
        <v>10.76</v>
      </c>
      <c r="W40" s="47"/>
      <c r="X40" s="28"/>
      <c r="Y40" s="64"/>
      <c r="Z40" s="62"/>
      <c r="AA40" s="9"/>
      <c r="AB40" s="28"/>
      <c r="AC40" s="28"/>
      <c r="AD40" s="28"/>
    </row>
    <row r="41" s="1" customFormat="1" ht="60" customHeight="1" spans="1:30">
      <c r="A41" s="9">
        <v>12</v>
      </c>
      <c r="B41" s="10" t="s">
        <v>150</v>
      </c>
      <c r="C41" s="9" t="s">
        <v>151</v>
      </c>
      <c r="D41" s="9" t="s">
        <v>152</v>
      </c>
      <c r="E41" s="9" t="s">
        <v>153</v>
      </c>
      <c r="F41" s="9">
        <v>18974192135</v>
      </c>
      <c r="G41" s="9" t="s">
        <v>38</v>
      </c>
      <c r="H41" s="22">
        <v>300</v>
      </c>
      <c r="I41" s="10">
        <v>5.66</v>
      </c>
      <c r="J41" s="22"/>
      <c r="K41" s="22"/>
      <c r="L41" s="22"/>
      <c r="M41" s="25">
        <v>0.0435</v>
      </c>
      <c r="N41" s="10" t="s">
        <v>39</v>
      </c>
      <c r="O41" s="22"/>
      <c r="P41" s="10" t="s">
        <v>154</v>
      </c>
      <c r="Q41" s="10" t="s">
        <v>106</v>
      </c>
      <c r="R41" s="10" t="s">
        <v>155</v>
      </c>
      <c r="S41" s="28">
        <v>14.32112</v>
      </c>
      <c r="T41" s="9"/>
      <c r="U41" s="26">
        <f>SUM(S41:S43)</f>
        <v>23.938612</v>
      </c>
      <c r="V41" s="26">
        <f>H41*M41*12/12</f>
        <v>13.05</v>
      </c>
      <c r="W41" s="48">
        <f>V41+V42+V43</f>
        <v>21.525</v>
      </c>
      <c r="X41" s="54">
        <v>46.7</v>
      </c>
      <c r="Y41" s="64">
        <v>43.88</v>
      </c>
      <c r="Z41" s="62">
        <v>17.97</v>
      </c>
      <c r="AA41" s="9">
        <v>1.92</v>
      </c>
      <c r="AB41" s="28">
        <v>1.92</v>
      </c>
      <c r="AC41" s="28">
        <f>W41*0.3</f>
        <v>6.4575</v>
      </c>
      <c r="AD41" s="28">
        <f>AC41*AE3</f>
        <v>5.12919225</v>
      </c>
    </row>
    <row r="42" s="1" customFormat="1" ht="60" customHeight="1" spans="1:30">
      <c r="A42" s="9"/>
      <c r="B42" s="10"/>
      <c r="C42" s="9"/>
      <c r="D42" s="9"/>
      <c r="E42" s="9"/>
      <c r="F42" s="9"/>
      <c r="G42" s="9"/>
      <c r="H42" s="22">
        <v>200</v>
      </c>
      <c r="I42" s="10"/>
      <c r="J42" s="22"/>
      <c r="K42" s="22"/>
      <c r="L42" s="22"/>
      <c r="M42" s="25">
        <v>0.0435</v>
      </c>
      <c r="N42" s="10" t="s">
        <v>39</v>
      </c>
      <c r="O42" s="22"/>
      <c r="P42" s="10" t="s">
        <v>156</v>
      </c>
      <c r="Q42" s="10" t="s">
        <v>106</v>
      </c>
      <c r="R42" s="10" t="s">
        <v>155</v>
      </c>
      <c r="S42" s="28">
        <v>3.313556</v>
      </c>
      <c r="T42" s="9"/>
      <c r="U42" s="26"/>
      <c r="V42" s="26">
        <f>H42*M42*3/12</f>
        <v>2.175</v>
      </c>
      <c r="W42" s="49"/>
      <c r="X42" s="54"/>
      <c r="Y42" s="64"/>
      <c r="Z42" s="62"/>
      <c r="AA42" s="9"/>
      <c r="AB42" s="28"/>
      <c r="AC42" s="28"/>
      <c r="AD42" s="28"/>
    </row>
    <row r="43" s="1" customFormat="1" ht="60" customHeight="1" spans="1:30">
      <c r="A43" s="9"/>
      <c r="B43" s="10"/>
      <c r="C43" s="9"/>
      <c r="D43" s="9"/>
      <c r="E43" s="9"/>
      <c r="F43" s="9"/>
      <c r="G43" s="9"/>
      <c r="H43" s="22">
        <v>200</v>
      </c>
      <c r="I43" s="10"/>
      <c r="J43" s="22"/>
      <c r="K43" s="22"/>
      <c r="L43" s="22"/>
      <c r="M43" s="25">
        <v>0.0435</v>
      </c>
      <c r="N43" s="10" t="s">
        <v>39</v>
      </c>
      <c r="O43" s="22"/>
      <c r="P43" s="10" t="s">
        <v>93</v>
      </c>
      <c r="Q43" s="10" t="s">
        <v>106</v>
      </c>
      <c r="R43" s="10" t="s">
        <v>155</v>
      </c>
      <c r="S43" s="28">
        <v>6.303936</v>
      </c>
      <c r="T43" s="9"/>
      <c r="U43" s="26"/>
      <c r="V43" s="26">
        <v>6.3</v>
      </c>
      <c r="W43" s="50"/>
      <c r="X43" s="54"/>
      <c r="Y43" s="64"/>
      <c r="Z43" s="62"/>
      <c r="AA43" s="9"/>
      <c r="AB43" s="28"/>
      <c r="AC43" s="28"/>
      <c r="AD43" s="28"/>
    </row>
    <row r="44" s="1" customFormat="1" ht="54" customHeight="1" spans="1:30">
      <c r="A44" s="9">
        <v>13</v>
      </c>
      <c r="B44" s="13" t="s">
        <v>157</v>
      </c>
      <c r="C44" s="14" t="s">
        <v>158</v>
      </c>
      <c r="D44" s="14" t="s">
        <v>159</v>
      </c>
      <c r="E44" s="9"/>
      <c r="F44" s="9"/>
      <c r="G44" s="14" t="s">
        <v>38</v>
      </c>
      <c r="H44" s="22">
        <v>500</v>
      </c>
      <c r="I44" s="10"/>
      <c r="J44" s="22"/>
      <c r="K44" s="22"/>
      <c r="L44" s="22"/>
      <c r="M44" s="25">
        <v>0.0435</v>
      </c>
      <c r="N44" s="10" t="s">
        <v>39</v>
      </c>
      <c r="O44" s="22"/>
      <c r="P44" s="10" t="s">
        <v>160</v>
      </c>
      <c r="Q44" s="10" t="s">
        <v>106</v>
      </c>
      <c r="R44" s="10" t="s">
        <v>43</v>
      </c>
      <c r="S44" s="28">
        <v>9.796249</v>
      </c>
      <c r="T44" s="9"/>
      <c r="U44" s="26">
        <f>S44+S45</f>
        <v>55.501888</v>
      </c>
      <c r="V44" s="26">
        <f>H44*M44*5/12</f>
        <v>9.0625</v>
      </c>
      <c r="W44" s="48">
        <f>V44+V45</f>
        <v>19.80175</v>
      </c>
      <c r="X44" s="55">
        <v>29.78</v>
      </c>
      <c r="Y44" s="65">
        <v>16.549631</v>
      </c>
      <c r="Z44" s="66">
        <v>17.75</v>
      </c>
      <c r="AA44" s="9"/>
      <c r="AB44" s="28"/>
      <c r="AC44" s="45">
        <f>W44*0.2</f>
        <v>3.96035</v>
      </c>
      <c r="AD44" s="28">
        <f>AC44*AE3</f>
        <v>3.145706005</v>
      </c>
    </row>
    <row r="45" s="1" customFormat="1" ht="54" customHeight="1" spans="1:30">
      <c r="A45" s="9"/>
      <c r="B45" s="15"/>
      <c r="C45" s="16"/>
      <c r="D45" s="16"/>
      <c r="E45" s="9"/>
      <c r="F45" s="9"/>
      <c r="G45" s="16"/>
      <c r="H45" s="22">
        <v>999</v>
      </c>
      <c r="I45" s="10"/>
      <c r="J45" s="22"/>
      <c r="K45" s="22"/>
      <c r="L45" s="22"/>
      <c r="M45" s="25">
        <v>0.043</v>
      </c>
      <c r="N45" s="10" t="s">
        <v>161</v>
      </c>
      <c r="O45" s="22"/>
      <c r="P45" s="10" t="s">
        <v>122</v>
      </c>
      <c r="Q45" s="10" t="s">
        <v>42</v>
      </c>
      <c r="R45" s="10" t="s">
        <v>162</v>
      </c>
      <c r="S45" s="28">
        <v>45.705639</v>
      </c>
      <c r="T45" s="9"/>
      <c r="U45" s="26"/>
      <c r="V45" s="26">
        <f>H45*M45*3/12</f>
        <v>10.73925</v>
      </c>
      <c r="W45" s="50"/>
      <c r="X45" s="56"/>
      <c r="Y45" s="67"/>
      <c r="Z45" s="68"/>
      <c r="AA45" s="9"/>
      <c r="AB45" s="28"/>
      <c r="AC45" s="47"/>
      <c r="AD45" s="28"/>
    </row>
    <row r="46" s="1" customFormat="1" ht="52" customHeight="1" spans="1:30">
      <c r="A46" s="9">
        <v>14</v>
      </c>
      <c r="B46" s="13" t="s">
        <v>163</v>
      </c>
      <c r="C46" s="14" t="s">
        <v>164</v>
      </c>
      <c r="D46" s="14" t="s">
        <v>165</v>
      </c>
      <c r="E46" s="9"/>
      <c r="F46" s="9"/>
      <c r="G46" s="14" t="s">
        <v>38</v>
      </c>
      <c r="H46" s="22">
        <v>220</v>
      </c>
      <c r="I46" s="10"/>
      <c r="J46" s="22"/>
      <c r="K46" s="22"/>
      <c r="L46" s="22"/>
      <c r="M46" s="25">
        <v>0.033</v>
      </c>
      <c r="N46" s="10" t="s">
        <v>92</v>
      </c>
      <c r="O46" s="22"/>
      <c r="P46" s="10" t="s">
        <v>166</v>
      </c>
      <c r="Q46" s="10" t="s">
        <v>42</v>
      </c>
      <c r="R46" s="10" t="s">
        <v>162</v>
      </c>
      <c r="S46" s="28">
        <v>0.605</v>
      </c>
      <c r="T46" s="9"/>
      <c r="U46" s="45">
        <f>S46+S47+S48+S49+S50+S51</f>
        <v>38.278083</v>
      </c>
      <c r="V46" s="28">
        <f>H46*M46*1/12</f>
        <v>0.605</v>
      </c>
      <c r="W46" s="49">
        <f>V46+V47+V48+V49+V50+V51</f>
        <v>29.8683333333333</v>
      </c>
      <c r="X46" s="55">
        <v>161.18</v>
      </c>
      <c r="Y46" s="65">
        <v>146.945343</v>
      </c>
      <c r="Z46" s="66">
        <v>59.91</v>
      </c>
      <c r="AA46" s="9"/>
      <c r="AB46" s="28"/>
      <c r="AC46" s="45">
        <f>W46*0.4</f>
        <v>11.9473333333333</v>
      </c>
      <c r="AD46" s="28">
        <f>AC46*AE3</f>
        <v>9.48976686666664</v>
      </c>
    </row>
    <row r="47" s="1" customFormat="1" ht="52" customHeight="1" spans="1:30">
      <c r="A47" s="9"/>
      <c r="B47" s="17"/>
      <c r="C47" s="18"/>
      <c r="D47" s="18"/>
      <c r="E47" s="9"/>
      <c r="F47" s="9"/>
      <c r="G47" s="18"/>
      <c r="H47" s="22">
        <v>300</v>
      </c>
      <c r="I47" s="10"/>
      <c r="J47" s="22"/>
      <c r="K47" s="22"/>
      <c r="L47" s="22"/>
      <c r="M47" s="25">
        <v>0.0375</v>
      </c>
      <c r="N47" s="10" t="s">
        <v>53</v>
      </c>
      <c r="O47" s="22"/>
      <c r="P47" s="10" t="s">
        <v>167</v>
      </c>
      <c r="Q47" s="10" t="s">
        <v>42</v>
      </c>
      <c r="R47" s="10" t="s">
        <v>162</v>
      </c>
      <c r="S47" s="28">
        <v>12.4</v>
      </c>
      <c r="T47" s="9"/>
      <c r="U47" s="46"/>
      <c r="V47" s="28">
        <f>H47*M47*6/12</f>
        <v>5.625</v>
      </c>
      <c r="W47" s="49"/>
      <c r="X47" s="57"/>
      <c r="Y47" s="69"/>
      <c r="Z47" s="70"/>
      <c r="AA47" s="9"/>
      <c r="AB47" s="28"/>
      <c r="AC47" s="46"/>
      <c r="AD47" s="28"/>
    </row>
    <row r="48" s="1" customFormat="1" ht="52" customHeight="1" spans="1:30">
      <c r="A48" s="9"/>
      <c r="B48" s="17"/>
      <c r="C48" s="18"/>
      <c r="D48" s="18"/>
      <c r="E48" s="9"/>
      <c r="F48" s="9"/>
      <c r="G48" s="18"/>
      <c r="H48" s="22">
        <v>200</v>
      </c>
      <c r="I48" s="10"/>
      <c r="J48" s="22"/>
      <c r="K48" s="22"/>
      <c r="L48" s="22"/>
      <c r="M48" s="25">
        <v>0.0435</v>
      </c>
      <c r="N48" s="10" t="s">
        <v>39</v>
      </c>
      <c r="O48" s="22"/>
      <c r="P48" s="10" t="s">
        <v>168</v>
      </c>
      <c r="Q48" s="10" t="s">
        <v>42</v>
      </c>
      <c r="R48" s="10" t="s">
        <v>43</v>
      </c>
      <c r="S48" s="28">
        <v>4.481942</v>
      </c>
      <c r="T48" s="9"/>
      <c r="U48" s="46"/>
      <c r="V48" s="28">
        <f>H48*M48*6/12</f>
        <v>4.35</v>
      </c>
      <c r="W48" s="49"/>
      <c r="X48" s="57"/>
      <c r="Y48" s="69"/>
      <c r="Z48" s="70"/>
      <c r="AA48" s="9"/>
      <c r="AB48" s="28"/>
      <c r="AC48" s="46"/>
      <c r="AD48" s="28"/>
    </row>
    <row r="49" s="1" customFormat="1" ht="52" customHeight="1" spans="1:30">
      <c r="A49" s="9"/>
      <c r="B49" s="17"/>
      <c r="C49" s="18"/>
      <c r="D49" s="18"/>
      <c r="E49" s="9"/>
      <c r="F49" s="9"/>
      <c r="G49" s="18"/>
      <c r="H49" s="22">
        <v>300</v>
      </c>
      <c r="I49" s="10"/>
      <c r="J49" s="22"/>
      <c r="K49" s="22"/>
      <c r="L49" s="22"/>
      <c r="M49" s="25">
        <v>0.0435</v>
      </c>
      <c r="N49" s="10" t="s">
        <v>39</v>
      </c>
      <c r="O49" s="22"/>
      <c r="P49" s="10" t="s">
        <v>160</v>
      </c>
      <c r="Q49" s="10" t="s">
        <v>42</v>
      </c>
      <c r="R49" s="10" t="s">
        <v>43</v>
      </c>
      <c r="S49" s="28">
        <v>6.031418</v>
      </c>
      <c r="T49" s="9"/>
      <c r="U49" s="46"/>
      <c r="V49" s="28">
        <f>H49*M49*5/12</f>
        <v>5.4375</v>
      </c>
      <c r="W49" s="49"/>
      <c r="X49" s="57"/>
      <c r="Y49" s="69"/>
      <c r="Z49" s="70"/>
      <c r="AA49" s="9"/>
      <c r="AB49" s="28"/>
      <c r="AC49" s="46"/>
      <c r="AD49" s="28"/>
    </row>
    <row r="50" s="1" customFormat="1" ht="52" customHeight="1" spans="1:30">
      <c r="A50" s="9"/>
      <c r="B50" s="17"/>
      <c r="C50" s="18"/>
      <c r="D50" s="18"/>
      <c r="E50" s="9"/>
      <c r="F50" s="9"/>
      <c r="G50" s="18"/>
      <c r="H50" s="22">
        <v>500</v>
      </c>
      <c r="I50" s="10"/>
      <c r="J50" s="22"/>
      <c r="K50" s="22"/>
      <c r="L50" s="22"/>
      <c r="M50" s="25">
        <v>0.0385</v>
      </c>
      <c r="N50" s="10" t="s">
        <v>169</v>
      </c>
      <c r="O50" s="22"/>
      <c r="P50" s="10" t="s">
        <v>135</v>
      </c>
      <c r="Q50" s="10" t="s">
        <v>42</v>
      </c>
      <c r="R50" s="10" t="s">
        <v>162</v>
      </c>
      <c r="S50" s="28">
        <v>8.929862</v>
      </c>
      <c r="T50" s="9"/>
      <c r="U50" s="46"/>
      <c r="V50" s="28">
        <f>H50*M50*5/12</f>
        <v>8.02083333333333</v>
      </c>
      <c r="W50" s="49"/>
      <c r="X50" s="57"/>
      <c r="Y50" s="69"/>
      <c r="Z50" s="70"/>
      <c r="AA50" s="9"/>
      <c r="AB50" s="28"/>
      <c r="AC50" s="46"/>
      <c r="AD50" s="28"/>
    </row>
    <row r="51" s="1" customFormat="1" ht="52" customHeight="1" spans="1:30">
      <c r="A51" s="9"/>
      <c r="B51" s="15"/>
      <c r="C51" s="16"/>
      <c r="D51" s="16"/>
      <c r="E51" s="9"/>
      <c r="F51" s="9"/>
      <c r="G51" s="16"/>
      <c r="H51" s="22">
        <v>500</v>
      </c>
      <c r="I51" s="10"/>
      <c r="J51" s="22"/>
      <c r="K51" s="22"/>
      <c r="L51" s="22"/>
      <c r="M51" s="25">
        <v>0.0365</v>
      </c>
      <c r="N51" s="10" t="s">
        <v>169</v>
      </c>
      <c r="O51" s="22"/>
      <c r="P51" s="10" t="s">
        <v>170</v>
      </c>
      <c r="Q51" s="10" t="s">
        <v>42</v>
      </c>
      <c r="R51" s="10" t="s">
        <v>162</v>
      </c>
      <c r="S51" s="28">
        <v>5.829861</v>
      </c>
      <c r="T51" s="9"/>
      <c r="U51" s="47"/>
      <c r="V51" s="28">
        <v>5.83</v>
      </c>
      <c r="W51" s="50"/>
      <c r="X51" s="56"/>
      <c r="Y51" s="67"/>
      <c r="Z51" s="68"/>
      <c r="AA51" s="9"/>
      <c r="AB51" s="28"/>
      <c r="AC51" s="47"/>
      <c r="AD51" s="28"/>
    </row>
    <row r="52" s="1" customFormat="1" ht="40.5" spans="1:30">
      <c r="A52" s="9">
        <v>15</v>
      </c>
      <c r="B52" s="10" t="s">
        <v>171</v>
      </c>
      <c r="C52" s="9" t="s">
        <v>172</v>
      </c>
      <c r="D52" s="9" t="s">
        <v>173</v>
      </c>
      <c r="E52" s="9"/>
      <c r="F52" s="9"/>
      <c r="G52" s="9" t="s">
        <v>38</v>
      </c>
      <c r="H52" s="23">
        <v>850</v>
      </c>
      <c r="I52" s="10"/>
      <c r="J52" s="22"/>
      <c r="K52" s="22"/>
      <c r="L52" s="22"/>
      <c r="M52" s="25">
        <v>0.037</v>
      </c>
      <c r="N52" s="10" t="s">
        <v>59</v>
      </c>
      <c r="O52" s="22"/>
      <c r="P52" s="10" t="s">
        <v>174</v>
      </c>
      <c r="Q52" s="10" t="s">
        <v>42</v>
      </c>
      <c r="R52" s="10" t="s">
        <v>175</v>
      </c>
      <c r="S52" s="28">
        <v>36.858122</v>
      </c>
      <c r="T52" s="9"/>
      <c r="U52" s="48">
        <f>SUM(S52:S56)</f>
        <v>68.986453</v>
      </c>
      <c r="V52" s="26">
        <f>H52*M52*9/12</f>
        <v>23.5875</v>
      </c>
      <c r="W52" s="48">
        <f>V52+V53+V54+V55+V56</f>
        <v>52.0208333333333</v>
      </c>
      <c r="X52" s="55">
        <v>51.86</v>
      </c>
      <c r="Y52" s="65">
        <v>34.306934</v>
      </c>
      <c r="Z52" s="66">
        <v>27.47</v>
      </c>
      <c r="AA52" s="9"/>
      <c r="AB52" s="28"/>
      <c r="AC52" s="45">
        <f>Z52/2</f>
        <v>13.735</v>
      </c>
      <c r="AD52" s="28">
        <f>AE3*AC52</f>
        <v>10.9097105</v>
      </c>
    </row>
    <row r="53" s="1" customFormat="1" ht="40.5" spans="1:30">
      <c r="A53" s="9"/>
      <c r="B53" s="10"/>
      <c r="C53" s="9"/>
      <c r="D53" s="9"/>
      <c r="E53" s="9"/>
      <c r="F53" s="9"/>
      <c r="G53" s="9"/>
      <c r="H53" s="22">
        <v>300</v>
      </c>
      <c r="I53" s="10"/>
      <c r="J53" s="22"/>
      <c r="K53" s="22"/>
      <c r="L53" s="22"/>
      <c r="M53" s="25">
        <v>0.039</v>
      </c>
      <c r="N53" s="10" t="s">
        <v>59</v>
      </c>
      <c r="O53" s="22"/>
      <c r="P53" s="10" t="s">
        <v>176</v>
      </c>
      <c r="Q53" s="10" t="s">
        <v>42</v>
      </c>
      <c r="R53" s="10" t="s">
        <v>45</v>
      </c>
      <c r="S53" s="28">
        <v>10.0375</v>
      </c>
      <c r="T53" s="9"/>
      <c r="U53" s="49"/>
      <c r="V53" s="26">
        <f>H53*M53*8/12</f>
        <v>7.8</v>
      </c>
      <c r="W53" s="49"/>
      <c r="X53" s="57"/>
      <c r="Y53" s="69"/>
      <c r="Z53" s="70"/>
      <c r="AA53" s="9"/>
      <c r="AB53" s="28"/>
      <c r="AC53" s="46"/>
      <c r="AD53" s="28"/>
    </row>
    <row r="54" s="1" customFormat="1" ht="40.5" spans="1:30">
      <c r="A54" s="9"/>
      <c r="B54" s="10"/>
      <c r="C54" s="9"/>
      <c r="D54" s="9"/>
      <c r="E54" s="9"/>
      <c r="F54" s="9"/>
      <c r="G54" s="9"/>
      <c r="H54" s="22">
        <v>500</v>
      </c>
      <c r="I54" s="10"/>
      <c r="J54" s="22"/>
      <c r="K54" s="22"/>
      <c r="L54" s="22"/>
      <c r="M54" s="25">
        <v>0.038</v>
      </c>
      <c r="N54" s="10" t="s">
        <v>59</v>
      </c>
      <c r="O54" s="22"/>
      <c r="P54" s="10" t="s">
        <v>177</v>
      </c>
      <c r="Q54" s="10" t="s">
        <v>42</v>
      </c>
      <c r="R54" s="10" t="s">
        <v>45</v>
      </c>
      <c r="S54" s="28">
        <v>6.825001</v>
      </c>
      <c r="T54" s="9"/>
      <c r="U54" s="49"/>
      <c r="V54" s="26">
        <f>H54*M54*4/12</f>
        <v>6.33333333333333</v>
      </c>
      <c r="W54" s="49"/>
      <c r="X54" s="57"/>
      <c r="Y54" s="69"/>
      <c r="Z54" s="70"/>
      <c r="AA54" s="9"/>
      <c r="AB54" s="28"/>
      <c r="AC54" s="46"/>
      <c r="AD54" s="28"/>
    </row>
    <row r="55" s="1" customFormat="1" ht="40.5" spans="1:30">
      <c r="A55" s="9"/>
      <c r="B55" s="10"/>
      <c r="C55" s="9"/>
      <c r="D55" s="9"/>
      <c r="E55" s="9"/>
      <c r="F55" s="9"/>
      <c r="G55" s="9"/>
      <c r="H55" s="22">
        <v>300</v>
      </c>
      <c r="I55" s="10"/>
      <c r="J55" s="22"/>
      <c r="K55" s="22"/>
      <c r="L55" s="22"/>
      <c r="M55" s="25">
        <v>0.039</v>
      </c>
      <c r="N55" s="10" t="s">
        <v>59</v>
      </c>
      <c r="O55" s="22"/>
      <c r="P55" s="10" t="s">
        <v>178</v>
      </c>
      <c r="Q55" s="10" t="s">
        <v>42</v>
      </c>
      <c r="R55" s="10" t="s">
        <v>45</v>
      </c>
      <c r="S55" s="28">
        <v>2.795</v>
      </c>
      <c r="T55" s="9"/>
      <c r="U55" s="49"/>
      <c r="V55" s="26">
        <v>2.8</v>
      </c>
      <c r="W55" s="49"/>
      <c r="X55" s="57"/>
      <c r="Y55" s="69"/>
      <c r="Z55" s="70"/>
      <c r="AA55" s="9"/>
      <c r="AB55" s="28"/>
      <c r="AC55" s="46"/>
      <c r="AD55" s="28"/>
    </row>
    <row r="56" s="1" customFormat="1" ht="40.5" spans="1:30">
      <c r="A56" s="9"/>
      <c r="B56" s="10"/>
      <c r="C56" s="9"/>
      <c r="D56" s="9"/>
      <c r="E56" s="9"/>
      <c r="F56" s="9"/>
      <c r="G56" s="9"/>
      <c r="H56" s="22">
        <v>500</v>
      </c>
      <c r="I56" s="10"/>
      <c r="J56" s="22"/>
      <c r="K56" s="22"/>
      <c r="L56" s="22"/>
      <c r="M56" s="25">
        <v>0.0345</v>
      </c>
      <c r="N56" s="10" t="s">
        <v>92</v>
      </c>
      <c r="O56" s="22"/>
      <c r="P56" s="10" t="s">
        <v>108</v>
      </c>
      <c r="Q56" s="10" t="s">
        <v>42</v>
      </c>
      <c r="R56" s="10" t="s">
        <v>45</v>
      </c>
      <c r="S56" s="28">
        <v>12.47083</v>
      </c>
      <c r="T56" s="9"/>
      <c r="U56" s="49"/>
      <c r="V56" s="26">
        <f>H56*M56*8/12</f>
        <v>11.5</v>
      </c>
      <c r="W56" s="49"/>
      <c r="X56" s="57"/>
      <c r="Y56" s="69"/>
      <c r="Z56" s="70"/>
      <c r="AA56" s="9"/>
      <c r="AB56" s="28"/>
      <c r="AC56" s="46"/>
      <c r="AD56" s="28"/>
    </row>
    <row r="57" s="1" customFormat="1" ht="55" customHeight="1" spans="1:30">
      <c r="A57" s="9">
        <v>16</v>
      </c>
      <c r="B57" s="10" t="s">
        <v>179</v>
      </c>
      <c r="C57" s="9" t="s">
        <v>180</v>
      </c>
      <c r="D57" s="9" t="s">
        <v>181</v>
      </c>
      <c r="E57" s="9"/>
      <c r="F57" s="9"/>
      <c r="G57" s="9" t="s">
        <v>38</v>
      </c>
      <c r="H57" s="22">
        <v>300</v>
      </c>
      <c r="I57" s="10"/>
      <c r="J57" s="22"/>
      <c r="K57" s="22"/>
      <c r="L57" s="22"/>
      <c r="M57" s="35">
        <v>0.0385</v>
      </c>
      <c r="N57" s="10" t="s">
        <v>169</v>
      </c>
      <c r="O57" s="22"/>
      <c r="P57" s="10" t="s">
        <v>177</v>
      </c>
      <c r="Q57" s="10" t="s">
        <v>42</v>
      </c>
      <c r="R57" s="10" t="s">
        <v>80</v>
      </c>
      <c r="S57" s="28">
        <v>4.074583</v>
      </c>
      <c r="T57" s="9"/>
      <c r="U57" s="28">
        <f>SUM(S57:S61)</f>
        <v>44.416383</v>
      </c>
      <c r="V57" s="28">
        <f>H57*M57*4/12</f>
        <v>3.85</v>
      </c>
      <c r="W57" s="48">
        <f>V57+V58+V59+V60+V61</f>
        <v>43.99</v>
      </c>
      <c r="X57" s="54">
        <v>196.41</v>
      </c>
      <c r="Y57" s="64">
        <v>175.08251</v>
      </c>
      <c r="Z57" s="62">
        <v>74.72</v>
      </c>
      <c r="AA57" s="9"/>
      <c r="AB57" s="28"/>
      <c r="AC57" s="28">
        <f>W57*0.4</f>
        <v>17.596</v>
      </c>
      <c r="AD57" s="28">
        <f>AC57*AE3</f>
        <v>13.9765028</v>
      </c>
    </row>
    <row r="58" s="1" customFormat="1" ht="55" customHeight="1" spans="1:30">
      <c r="A58" s="9"/>
      <c r="B58" s="10"/>
      <c r="C58" s="9"/>
      <c r="D58" s="9"/>
      <c r="E58" s="9"/>
      <c r="F58" s="9"/>
      <c r="G58" s="9"/>
      <c r="H58" s="22">
        <v>300</v>
      </c>
      <c r="I58" s="10"/>
      <c r="J58" s="22"/>
      <c r="K58" s="22"/>
      <c r="L58" s="22"/>
      <c r="M58" s="25">
        <v>0.032</v>
      </c>
      <c r="N58" s="10" t="s">
        <v>92</v>
      </c>
      <c r="O58" s="22"/>
      <c r="P58" s="10" t="s">
        <v>85</v>
      </c>
      <c r="Q58" s="10" t="s">
        <v>42</v>
      </c>
      <c r="R58" s="10" t="s">
        <v>45</v>
      </c>
      <c r="S58" s="28">
        <v>2.266667</v>
      </c>
      <c r="T58" s="9"/>
      <c r="U58" s="28"/>
      <c r="V58" s="28">
        <v>2.27</v>
      </c>
      <c r="W58" s="49"/>
      <c r="X58" s="54"/>
      <c r="Y58" s="64"/>
      <c r="Z58" s="62"/>
      <c r="AA58" s="9"/>
      <c r="AB58" s="28"/>
      <c r="AC58" s="28"/>
      <c r="AD58" s="28"/>
    </row>
    <row r="59" s="1" customFormat="1" ht="55" customHeight="1" spans="1:30">
      <c r="A59" s="9"/>
      <c r="B59" s="10"/>
      <c r="C59" s="9"/>
      <c r="D59" s="9"/>
      <c r="E59" s="9"/>
      <c r="F59" s="9"/>
      <c r="G59" s="9"/>
      <c r="H59" s="22">
        <v>500</v>
      </c>
      <c r="I59" s="10"/>
      <c r="J59" s="22"/>
      <c r="K59" s="22"/>
      <c r="L59" s="22"/>
      <c r="M59" s="25">
        <v>0.04</v>
      </c>
      <c r="N59" s="10" t="s">
        <v>89</v>
      </c>
      <c r="O59" s="22"/>
      <c r="P59" s="10" t="s">
        <v>182</v>
      </c>
      <c r="Q59" s="10" t="s">
        <v>42</v>
      </c>
      <c r="R59" s="10" t="s">
        <v>91</v>
      </c>
      <c r="S59" s="28">
        <v>11.455556</v>
      </c>
      <c r="T59" s="9"/>
      <c r="U59" s="28"/>
      <c r="V59" s="28">
        <v>11.46</v>
      </c>
      <c r="W59" s="49"/>
      <c r="X59" s="54"/>
      <c r="Y59" s="64"/>
      <c r="Z59" s="62"/>
      <c r="AA59" s="9"/>
      <c r="AB59" s="28"/>
      <c r="AC59" s="28"/>
      <c r="AD59" s="28"/>
    </row>
    <row r="60" s="1" customFormat="1" ht="55" customHeight="1" spans="1:30">
      <c r="A60" s="9"/>
      <c r="B60" s="10"/>
      <c r="C60" s="9"/>
      <c r="D60" s="9"/>
      <c r="E60" s="9"/>
      <c r="F60" s="9"/>
      <c r="G60" s="9"/>
      <c r="H60" s="22">
        <v>500</v>
      </c>
      <c r="I60" s="10"/>
      <c r="J60" s="22"/>
      <c r="K60" s="22"/>
      <c r="L60" s="22"/>
      <c r="M60" s="25">
        <v>0.041</v>
      </c>
      <c r="N60" s="10" t="s">
        <v>119</v>
      </c>
      <c r="O60" s="22"/>
      <c r="P60" s="10" t="s">
        <v>183</v>
      </c>
      <c r="Q60" s="10" t="s">
        <v>42</v>
      </c>
      <c r="R60" s="10" t="s">
        <v>45</v>
      </c>
      <c r="S60" s="28">
        <v>10.454862</v>
      </c>
      <c r="T60" s="9"/>
      <c r="U60" s="28"/>
      <c r="V60" s="28">
        <f>H60*M60*6/12</f>
        <v>10.25</v>
      </c>
      <c r="W60" s="49"/>
      <c r="X60" s="54"/>
      <c r="Y60" s="64"/>
      <c r="Z60" s="62"/>
      <c r="AA60" s="9"/>
      <c r="AB60" s="28"/>
      <c r="AC60" s="28"/>
      <c r="AD60" s="28"/>
    </row>
    <row r="61" s="1" customFormat="1" ht="55" customHeight="1" spans="1:30">
      <c r="A61" s="9"/>
      <c r="B61" s="10"/>
      <c r="C61" s="9"/>
      <c r="D61" s="9"/>
      <c r="E61" s="9"/>
      <c r="F61" s="9"/>
      <c r="G61" s="9"/>
      <c r="H61" s="22">
        <v>500</v>
      </c>
      <c r="I61" s="10"/>
      <c r="J61" s="22"/>
      <c r="K61" s="22"/>
      <c r="L61" s="22"/>
      <c r="M61" s="25">
        <v>0.0435</v>
      </c>
      <c r="N61" s="10" t="s">
        <v>39</v>
      </c>
      <c r="O61" s="22"/>
      <c r="P61" s="10" t="s">
        <v>63</v>
      </c>
      <c r="Q61" s="10" t="s">
        <v>106</v>
      </c>
      <c r="R61" s="10" t="s">
        <v>45</v>
      </c>
      <c r="S61" s="28">
        <v>16.164715</v>
      </c>
      <c r="T61" s="9"/>
      <c r="U61" s="28"/>
      <c r="V61" s="28">
        <v>16.16</v>
      </c>
      <c r="W61" s="49"/>
      <c r="X61" s="54"/>
      <c r="Y61" s="64"/>
      <c r="Z61" s="62"/>
      <c r="AA61" s="9"/>
      <c r="AB61" s="28"/>
      <c r="AC61" s="28"/>
      <c r="AD61" s="28"/>
    </row>
    <row r="62" s="1" customFormat="1" ht="40.5" spans="1:30">
      <c r="A62" s="9">
        <v>17</v>
      </c>
      <c r="B62" s="10" t="s">
        <v>184</v>
      </c>
      <c r="C62" s="9" t="s">
        <v>185</v>
      </c>
      <c r="D62" s="9" t="s">
        <v>186</v>
      </c>
      <c r="E62" s="9"/>
      <c r="F62" s="9"/>
      <c r="G62" s="9" t="s">
        <v>38</v>
      </c>
      <c r="H62" s="22">
        <v>300</v>
      </c>
      <c r="I62" s="10"/>
      <c r="J62" s="22"/>
      <c r="K62" s="22"/>
      <c r="L62" s="22"/>
      <c r="M62" s="25">
        <v>0.037</v>
      </c>
      <c r="N62" s="10" t="s">
        <v>53</v>
      </c>
      <c r="O62" s="22"/>
      <c r="P62" s="10" t="s">
        <v>187</v>
      </c>
      <c r="Q62" s="10" t="s">
        <v>42</v>
      </c>
      <c r="R62" s="10" t="s">
        <v>188</v>
      </c>
      <c r="S62" s="28">
        <v>10.6925</v>
      </c>
      <c r="T62" s="9"/>
      <c r="U62" s="28">
        <f>S62</f>
        <v>10.6925</v>
      </c>
      <c r="V62" s="28">
        <f>H62*M62*8/12</f>
        <v>7.4</v>
      </c>
      <c r="W62" s="45">
        <f>V62</f>
        <v>7.4</v>
      </c>
      <c r="X62" s="54">
        <v>62.79</v>
      </c>
      <c r="Y62" s="64">
        <v>29.038832</v>
      </c>
      <c r="Z62" s="62">
        <v>34.88</v>
      </c>
      <c r="AA62" s="9"/>
      <c r="AB62" s="28"/>
      <c r="AC62" s="28">
        <f>W62*0.3</f>
        <v>2.22</v>
      </c>
      <c r="AD62" s="28">
        <f>AC62*AE3</f>
        <v>1.763346</v>
      </c>
    </row>
    <row r="63" customFormat="1" ht="49" customHeight="1" spans="1:30">
      <c r="A63" s="14">
        <v>18</v>
      </c>
      <c r="B63" s="13" t="s">
        <v>189</v>
      </c>
      <c r="C63" s="14" t="s">
        <v>190</v>
      </c>
      <c r="D63" s="14" t="s">
        <v>191</v>
      </c>
      <c r="E63" s="9"/>
      <c r="F63" s="9"/>
      <c r="G63" s="14" t="s">
        <v>38</v>
      </c>
      <c r="H63" s="9">
        <v>480</v>
      </c>
      <c r="I63" s="25"/>
      <c r="J63" s="25"/>
      <c r="K63" s="26"/>
      <c r="L63" s="26"/>
      <c r="M63" s="25">
        <v>0.0435</v>
      </c>
      <c r="N63" s="10" t="s">
        <v>119</v>
      </c>
      <c r="O63" s="9"/>
      <c r="P63" s="10" t="s">
        <v>192</v>
      </c>
      <c r="Q63" s="10" t="s">
        <v>42</v>
      </c>
      <c r="R63" s="9" t="s">
        <v>188</v>
      </c>
      <c r="S63" s="28">
        <v>7.64</v>
      </c>
      <c r="T63" s="9"/>
      <c r="U63" s="45">
        <f>S63+S64</f>
        <v>25.15</v>
      </c>
      <c r="V63" s="28">
        <f>H63*M63*3/12</f>
        <v>5.22</v>
      </c>
      <c r="W63" s="45">
        <f>V63+V64</f>
        <v>17.9075</v>
      </c>
      <c r="X63" s="45">
        <v>307.22</v>
      </c>
      <c r="Y63" s="45">
        <v>156.122984</v>
      </c>
      <c r="Z63" s="45">
        <v>142.45</v>
      </c>
      <c r="AA63" s="28"/>
      <c r="AB63" s="28"/>
      <c r="AC63" s="45">
        <f>W63*0.4</f>
        <v>7.163</v>
      </c>
      <c r="AD63" s="74">
        <f>AC63*AE3</f>
        <v>5.6895709</v>
      </c>
    </row>
    <row r="64" customFormat="1" ht="40.5" spans="1:30">
      <c r="A64" s="18"/>
      <c r="B64" s="17"/>
      <c r="C64" s="18"/>
      <c r="D64" s="18"/>
      <c r="E64" s="9"/>
      <c r="F64" s="9"/>
      <c r="G64" s="18"/>
      <c r="H64" s="9">
        <v>700</v>
      </c>
      <c r="I64" s="25"/>
      <c r="J64" s="25"/>
      <c r="K64" s="26"/>
      <c r="L64" s="26"/>
      <c r="M64" s="25">
        <v>0.0435</v>
      </c>
      <c r="N64" s="10" t="s">
        <v>119</v>
      </c>
      <c r="O64" s="9"/>
      <c r="P64" s="10" t="s">
        <v>193</v>
      </c>
      <c r="Q64" s="10" t="s">
        <v>42</v>
      </c>
      <c r="R64" s="9" t="s">
        <v>194</v>
      </c>
      <c r="S64" s="28">
        <v>17.51</v>
      </c>
      <c r="T64" s="9"/>
      <c r="U64" s="46"/>
      <c r="V64" s="28">
        <f>H64*M64*5/12</f>
        <v>12.6875</v>
      </c>
      <c r="W64" s="46"/>
      <c r="X64" s="46"/>
      <c r="Y64" s="46"/>
      <c r="Z64" s="46"/>
      <c r="AA64" s="28"/>
      <c r="AB64" s="28"/>
      <c r="AC64" s="46"/>
      <c r="AD64" s="74"/>
    </row>
    <row r="65" customFormat="1" ht="40.5" spans="1:30">
      <c r="A65" s="9">
        <v>19</v>
      </c>
      <c r="B65" s="10" t="s">
        <v>195</v>
      </c>
      <c r="C65" s="9" t="s">
        <v>196</v>
      </c>
      <c r="D65" s="9" t="s">
        <v>197</v>
      </c>
      <c r="E65" s="9"/>
      <c r="F65" s="9"/>
      <c r="G65" s="9" t="s">
        <v>38</v>
      </c>
      <c r="H65" s="9">
        <v>500</v>
      </c>
      <c r="I65" s="25"/>
      <c r="J65" s="25"/>
      <c r="K65" s="26"/>
      <c r="L65" s="26"/>
      <c r="M65" s="25">
        <v>0.0435</v>
      </c>
      <c r="N65" s="10" t="s">
        <v>39</v>
      </c>
      <c r="O65" s="9"/>
      <c r="P65" s="10" t="s">
        <v>198</v>
      </c>
      <c r="Q65" s="10" t="s">
        <v>199</v>
      </c>
      <c r="R65" s="9" t="s">
        <v>194</v>
      </c>
      <c r="S65" s="28">
        <v>7.777777</v>
      </c>
      <c r="T65" s="9"/>
      <c r="U65" s="28">
        <f>S65</f>
        <v>7.777777</v>
      </c>
      <c r="V65" s="28">
        <f>H65*M65*4/12</f>
        <v>7.25</v>
      </c>
      <c r="W65" s="45">
        <f>V65</f>
        <v>7.25</v>
      </c>
      <c r="X65" s="28">
        <v>84.19</v>
      </c>
      <c r="Y65" s="28">
        <v>73.298382</v>
      </c>
      <c r="Z65" s="28">
        <v>29.66</v>
      </c>
      <c r="AA65" s="28"/>
      <c r="AB65" s="28"/>
      <c r="AC65" s="28">
        <f>W65*0.4</f>
        <v>2.9</v>
      </c>
      <c r="AD65" s="74">
        <f>AC65*AE3</f>
        <v>2.30347</v>
      </c>
    </row>
    <row r="66" customFormat="1" ht="40.5" spans="1:30">
      <c r="A66" s="9">
        <v>20</v>
      </c>
      <c r="B66" s="10" t="s">
        <v>200</v>
      </c>
      <c r="C66" s="9" t="s">
        <v>201</v>
      </c>
      <c r="D66" s="9" t="s">
        <v>202</v>
      </c>
      <c r="E66" s="9"/>
      <c r="F66" s="9"/>
      <c r="G66" s="9" t="s">
        <v>38</v>
      </c>
      <c r="H66" s="9">
        <v>500</v>
      </c>
      <c r="I66" s="25"/>
      <c r="J66" s="25"/>
      <c r="K66" s="26"/>
      <c r="L66" s="26"/>
      <c r="M66" s="25">
        <v>0.0405</v>
      </c>
      <c r="N66" s="10" t="s">
        <v>92</v>
      </c>
      <c r="O66" s="9"/>
      <c r="P66" s="10" t="s">
        <v>63</v>
      </c>
      <c r="Q66" s="10" t="s">
        <v>203</v>
      </c>
      <c r="R66" s="10" t="s">
        <v>194</v>
      </c>
      <c r="S66" s="28">
        <v>16.259201</v>
      </c>
      <c r="T66" s="9"/>
      <c r="U66" s="28">
        <f>S66</f>
        <v>16.259201</v>
      </c>
      <c r="V66" s="28">
        <f>H66*M66*9/12</f>
        <v>15.1875</v>
      </c>
      <c r="W66" s="28">
        <f>V66</f>
        <v>15.1875</v>
      </c>
      <c r="X66" s="28">
        <v>5.642724</v>
      </c>
      <c r="Y66" s="28">
        <v>5.321495</v>
      </c>
      <c r="Z66" s="28">
        <v>2.2</v>
      </c>
      <c r="AA66" s="28"/>
      <c r="AB66" s="28"/>
      <c r="AC66" s="28">
        <f>Z66/2</f>
        <v>1.1</v>
      </c>
      <c r="AD66" s="74">
        <f>AC66*AE3</f>
        <v>0.87373</v>
      </c>
    </row>
    <row r="67" customFormat="1" ht="50" customHeight="1" spans="1:30">
      <c r="A67" s="9">
        <v>21</v>
      </c>
      <c r="B67" s="10" t="s">
        <v>204</v>
      </c>
      <c r="C67" s="9" t="s">
        <v>205</v>
      </c>
      <c r="D67" s="9" t="s">
        <v>206</v>
      </c>
      <c r="E67" s="9"/>
      <c r="F67" s="9"/>
      <c r="G67" s="9" t="s">
        <v>38</v>
      </c>
      <c r="H67" s="9">
        <v>1292.6</v>
      </c>
      <c r="I67" s="25"/>
      <c r="J67" s="25"/>
      <c r="K67" s="26"/>
      <c r="L67" s="26"/>
      <c r="M67" s="25">
        <v>0.0435</v>
      </c>
      <c r="N67" s="10" t="s">
        <v>119</v>
      </c>
      <c r="O67" s="9"/>
      <c r="P67" s="10" t="s">
        <v>207</v>
      </c>
      <c r="Q67" s="10" t="s">
        <v>203</v>
      </c>
      <c r="R67" s="10" t="s">
        <v>194</v>
      </c>
      <c r="S67" s="28">
        <v>83.43</v>
      </c>
      <c r="T67" s="9"/>
      <c r="U67" s="26">
        <f>S67+S69+S68</f>
        <v>108.636665</v>
      </c>
      <c r="V67" s="26">
        <f>H67*M67*10/12</f>
        <v>46.85675</v>
      </c>
      <c r="W67" s="48">
        <f>V67+V69+V68</f>
        <v>60.99425</v>
      </c>
      <c r="X67" s="28">
        <v>252.52</v>
      </c>
      <c r="Y67" s="28">
        <v>192.783801</v>
      </c>
      <c r="Z67" s="28">
        <v>117.65</v>
      </c>
      <c r="AA67" s="28"/>
      <c r="AB67" s="28"/>
      <c r="AC67" s="28">
        <f>W67*0.4</f>
        <v>24.3977</v>
      </c>
      <c r="AD67" s="74">
        <f>AE3*AC67</f>
        <v>19.37909311</v>
      </c>
    </row>
    <row r="68" customFormat="1" ht="50" customHeight="1" spans="1:30">
      <c r="A68" s="9"/>
      <c r="B68" s="10"/>
      <c r="C68" s="9"/>
      <c r="D68" s="9"/>
      <c r="E68" s="9"/>
      <c r="F68" s="9"/>
      <c r="G68" s="9"/>
      <c r="H68" s="9">
        <v>500</v>
      </c>
      <c r="I68" s="25"/>
      <c r="J68" s="25"/>
      <c r="K68" s="26"/>
      <c r="L68" s="26"/>
      <c r="M68" s="25">
        <v>0.0435</v>
      </c>
      <c r="N68" s="10" t="s">
        <v>39</v>
      </c>
      <c r="O68" s="9"/>
      <c r="P68" s="10" t="s">
        <v>208</v>
      </c>
      <c r="Q68" s="10" t="s">
        <v>203</v>
      </c>
      <c r="R68" s="10" t="s">
        <v>194</v>
      </c>
      <c r="S68" s="28">
        <v>19.881665</v>
      </c>
      <c r="T68" s="9"/>
      <c r="U68" s="26"/>
      <c r="V68" s="26">
        <f>H68*M68*5/12</f>
        <v>9.0625</v>
      </c>
      <c r="W68" s="49"/>
      <c r="X68" s="28"/>
      <c r="Y68" s="28"/>
      <c r="Z68" s="28"/>
      <c r="AA68" s="28"/>
      <c r="AB68" s="28"/>
      <c r="AC68" s="28"/>
      <c r="AD68" s="74"/>
    </row>
    <row r="69" customFormat="1" ht="50" customHeight="1" spans="1:30">
      <c r="A69" s="9"/>
      <c r="B69" s="10"/>
      <c r="C69" s="9"/>
      <c r="D69" s="9"/>
      <c r="E69" s="9"/>
      <c r="F69" s="9"/>
      <c r="G69" s="9"/>
      <c r="H69" s="9">
        <v>200</v>
      </c>
      <c r="I69" s="25"/>
      <c r="J69" s="25"/>
      <c r="K69" s="26"/>
      <c r="L69" s="26"/>
      <c r="M69" s="25">
        <v>0.0435</v>
      </c>
      <c r="N69" s="10" t="s">
        <v>107</v>
      </c>
      <c r="O69" s="9"/>
      <c r="P69" s="10" t="s">
        <v>209</v>
      </c>
      <c r="Q69" s="10" t="s">
        <v>203</v>
      </c>
      <c r="R69" s="10" t="s">
        <v>194</v>
      </c>
      <c r="S69" s="28">
        <v>5.325</v>
      </c>
      <c r="T69" s="9"/>
      <c r="U69" s="26"/>
      <c r="V69" s="26">
        <f>H69*M69*7/12</f>
        <v>5.075</v>
      </c>
      <c r="W69" s="49"/>
      <c r="X69" s="28"/>
      <c r="Y69" s="28"/>
      <c r="Z69" s="28"/>
      <c r="AA69" s="28"/>
      <c r="AB69" s="28"/>
      <c r="AC69" s="28"/>
      <c r="AD69" s="74"/>
    </row>
    <row r="70" customFormat="1" ht="57" customHeight="1" spans="1:30">
      <c r="A70" s="14">
        <v>22</v>
      </c>
      <c r="B70" s="13" t="s">
        <v>210</v>
      </c>
      <c r="C70" s="14" t="s">
        <v>211</v>
      </c>
      <c r="D70" s="14" t="s">
        <v>212</v>
      </c>
      <c r="E70" s="9"/>
      <c r="F70" s="9"/>
      <c r="G70" s="14" t="s">
        <v>38</v>
      </c>
      <c r="H70" s="9">
        <v>117.5</v>
      </c>
      <c r="I70" s="25"/>
      <c r="J70" s="25"/>
      <c r="K70" s="26"/>
      <c r="L70" s="26"/>
      <c r="M70" s="25">
        <v>0.0435</v>
      </c>
      <c r="N70" s="26" t="s">
        <v>89</v>
      </c>
      <c r="O70" s="26"/>
      <c r="P70" s="26" t="s">
        <v>213</v>
      </c>
      <c r="Q70" s="26" t="s">
        <v>42</v>
      </c>
      <c r="R70" s="26" t="s">
        <v>91</v>
      </c>
      <c r="S70" s="26">
        <v>7.088349</v>
      </c>
      <c r="T70" s="9"/>
      <c r="U70" s="48">
        <f>S70+S72+S71</f>
        <v>35.838349</v>
      </c>
      <c r="V70" s="26">
        <f>H70*M70*8/12</f>
        <v>3.4075</v>
      </c>
      <c r="W70" s="48">
        <f>V70+V72+V71</f>
        <v>16.19</v>
      </c>
      <c r="X70" s="45">
        <v>59.01</v>
      </c>
      <c r="Y70" s="45">
        <v>41.53</v>
      </c>
      <c r="Z70" s="45">
        <v>14.6</v>
      </c>
      <c r="AA70" s="28"/>
      <c r="AB70" s="28"/>
      <c r="AC70" s="45">
        <f>W70*0.3</f>
        <v>4.857</v>
      </c>
      <c r="AD70" s="74">
        <f>AC70*AE3</f>
        <v>3.8579151</v>
      </c>
    </row>
    <row r="71" customFormat="1" ht="57" customHeight="1" spans="1:30">
      <c r="A71" s="18"/>
      <c r="B71" s="17"/>
      <c r="C71" s="18"/>
      <c r="D71" s="18"/>
      <c r="E71" s="9"/>
      <c r="F71" s="9"/>
      <c r="G71" s="18"/>
      <c r="H71" s="9">
        <v>500</v>
      </c>
      <c r="I71" s="75"/>
      <c r="J71" s="75"/>
      <c r="K71" s="76"/>
      <c r="L71" s="76"/>
      <c r="M71" s="25">
        <v>0.0435</v>
      </c>
      <c r="N71" s="26" t="s">
        <v>101</v>
      </c>
      <c r="O71" s="26"/>
      <c r="P71" s="26" t="s">
        <v>193</v>
      </c>
      <c r="Q71" s="26" t="s">
        <v>42</v>
      </c>
      <c r="R71" s="26" t="s">
        <v>91</v>
      </c>
      <c r="S71" s="26">
        <v>13.54</v>
      </c>
      <c r="T71" s="9"/>
      <c r="U71" s="49"/>
      <c r="V71" s="26">
        <f>H71*M71*5/12</f>
        <v>9.0625</v>
      </c>
      <c r="W71" s="49"/>
      <c r="X71" s="46"/>
      <c r="Y71" s="46"/>
      <c r="Z71" s="46"/>
      <c r="AA71" s="28"/>
      <c r="AB71" s="28"/>
      <c r="AC71" s="46"/>
      <c r="AD71" s="74"/>
    </row>
    <row r="72" customFormat="1" ht="60" customHeight="1" spans="1:30">
      <c r="A72" s="18"/>
      <c r="B72" s="17"/>
      <c r="C72" s="18"/>
      <c r="D72" s="18"/>
      <c r="E72" s="9"/>
      <c r="F72" s="9"/>
      <c r="G72" s="18"/>
      <c r="H72" s="9">
        <v>400</v>
      </c>
      <c r="I72" s="75"/>
      <c r="J72" s="75"/>
      <c r="K72" s="76"/>
      <c r="L72" s="76"/>
      <c r="M72" s="25">
        <v>0.0372</v>
      </c>
      <c r="N72" s="26" t="s">
        <v>92</v>
      </c>
      <c r="O72" s="26"/>
      <c r="P72" s="26" t="s">
        <v>85</v>
      </c>
      <c r="Q72" s="26" t="s">
        <v>42</v>
      </c>
      <c r="R72" s="26" t="s">
        <v>91</v>
      </c>
      <c r="S72" s="26">
        <v>15.21</v>
      </c>
      <c r="T72" s="9"/>
      <c r="U72" s="49"/>
      <c r="V72" s="26">
        <f>H72*M72*3/12</f>
        <v>3.72</v>
      </c>
      <c r="W72" s="49"/>
      <c r="X72" s="46"/>
      <c r="Y72" s="46"/>
      <c r="Z72" s="46"/>
      <c r="AA72" s="28"/>
      <c r="AB72" s="28"/>
      <c r="AC72" s="46"/>
      <c r="AD72" s="74"/>
    </row>
    <row r="73" customFormat="1" ht="60" customHeight="1" spans="1:30">
      <c r="A73" s="18">
        <v>23</v>
      </c>
      <c r="B73" s="10" t="s">
        <v>214</v>
      </c>
      <c r="C73" s="9" t="s">
        <v>215</v>
      </c>
      <c r="D73" s="9" t="s">
        <v>216</v>
      </c>
      <c r="E73" s="9"/>
      <c r="F73" s="9"/>
      <c r="G73" s="9" t="s">
        <v>38</v>
      </c>
      <c r="H73" s="22">
        <v>370</v>
      </c>
      <c r="I73" s="10"/>
      <c r="J73" s="22"/>
      <c r="K73" s="22"/>
      <c r="L73" s="22"/>
      <c r="M73" s="25">
        <v>0.0435</v>
      </c>
      <c r="N73" s="10" t="s">
        <v>39</v>
      </c>
      <c r="O73" s="22"/>
      <c r="P73" s="10" t="s">
        <v>217</v>
      </c>
      <c r="Q73" s="10" t="s">
        <v>106</v>
      </c>
      <c r="R73" s="10" t="s">
        <v>45</v>
      </c>
      <c r="S73" s="28">
        <v>12.34675</v>
      </c>
      <c r="T73" s="9"/>
      <c r="U73" s="28">
        <f>S73+S74+S75</f>
        <v>33.472652</v>
      </c>
      <c r="V73" s="28">
        <f>H73*M73*7/12</f>
        <v>9.38875</v>
      </c>
      <c r="W73" s="48">
        <f>V73+V74+V75</f>
        <v>30.513945</v>
      </c>
      <c r="X73" s="54">
        <v>170.74</v>
      </c>
      <c r="Y73" s="64">
        <v>5.66</v>
      </c>
      <c r="Z73" s="62">
        <v>71.66</v>
      </c>
      <c r="AA73" s="9"/>
      <c r="AB73" s="28"/>
      <c r="AC73" s="28">
        <f>W73*0.1</f>
        <v>3.0513945</v>
      </c>
      <c r="AD73" s="77">
        <f>AC73*AE3</f>
        <v>2.42372265135</v>
      </c>
    </row>
    <row r="74" customFormat="1" ht="60" customHeight="1" spans="1:30">
      <c r="A74" s="18"/>
      <c r="B74" s="10"/>
      <c r="C74" s="9"/>
      <c r="D74" s="9"/>
      <c r="E74" s="9"/>
      <c r="F74" s="9"/>
      <c r="G74" s="9"/>
      <c r="H74" s="22">
        <v>312</v>
      </c>
      <c r="I74" s="10"/>
      <c r="J74" s="22"/>
      <c r="K74" s="22"/>
      <c r="L74" s="22"/>
      <c r="M74" s="25">
        <v>0.043</v>
      </c>
      <c r="N74" s="10" t="s">
        <v>39</v>
      </c>
      <c r="O74" s="22"/>
      <c r="P74" s="10" t="s">
        <v>218</v>
      </c>
      <c r="Q74" s="10" t="s">
        <v>106</v>
      </c>
      <c r="R74" s="10" t="s">
        <v>45</v>
      </c>
      <c r="S74" s="28">
        <v>10.460707</v>
      </c>
      <c r="T74" s="9"/>
      <c r="U74" s="28"/>
      <c r="V74" s="28">
        <v>10.46</v>
      </c>
      <c r="W74" s="49"/>
      <c r="X74" s="54"/>
      <c r="Y74" s="64"/>
      <c r="Z74" s="62"/>
      <c r="AA74" s="9"/>
      <c r="AB74" s="28"/>
      <c r="AC74" s="28"/>
      <c r="AD74" s="78"/>
    </row>
    <row r="75" customFormat="1" ht="60" customHeight="1" spans="1:30">
      <c r="A75" s="18"/>
      <c r="B75" s="10"/>
      <c r="C75" s="9"/>
      <c r="D75" s="9"/>
      <c r="E75" s="9"/>
      <c r="F75" s="9"/>
      <c r="G75" s="9"/>
      <c r="H75" s="22">
        <v>318</v>
      </c>
      <c r="I75" s="10"/>
      <c r="J75" s="22"/>
      <c r="K75" s="22"/>
      <c r="L75" s="22"/>
      <c r="M75" s="25">
        <v>0.043</v>
      </c>
      <c r="N75" s="10" t="s">
        <v>39</v>
      </c>
      <c r="O75" s="22"/>
      <c r="P75" s="10" t="s">
        <v>218</v>
      </c>
      <c r="Q75" s="10" t="s">
        <v>106</v>
      </c>
      <c r="R75" s="10" t="s">
        <v>45</v>
      </c>
      <c r="S75" s="28">
        <v>10.665195</v>
      </c>
      <c r="T75" s="9"/>
      <c r="U75" s="28"/>
      <c r="V75" s="28">
        <v>10.665195</v>
      </c>
      <c r="W75" s="50"/>
      <c r="X75" s="54"/>
      <c r="Y75" s="64"/>
      <c r="Z75" s="62"/>
      <c r="AA75" s="9"/>
      <c r="AB75" s="28"/>
      <c r="AC75" s="28"/>
      <c r="AD75" s="79"/>
    </row>
    <row r="76" customFormat="1" ht="60" customHeight="1" spans="1:30">
      <c r="A76" s="9">
        <v>24</v>
      </c>
      <c r="B76" s="10" t="s">
        <v>219</v>
      </c>
      <c r="C76" s="9" t="s">
        <v>220</v>
      </c>
      <c r="D76" s="9" t="s">
        <v>221</v>
      </c>
      <c r="E76" s="9"/>
      <c r="F76" s="9"/>
      <c r="G76" s="9" t="s">
        <v>38</v>
      </c>
      <c r="H76" s="22">
        <v>200</v>
      </c>
      <c r="I76" s="10"/>
      <c r="J76" s="22"/>
      <c r="K76" s="22"/>
      <c r="L76" s="22"/>
      <c r="M76" s="25">
        <v>0.0435</v>
      </c>
      <c r="N76" s="10" t="s">
        <v>39</v>
      </c>
      <c r="O76" s="22"/>
      <c r="P76" s="10" t="s">
        <v>222</v>
      </c>
      <c r="Q76" s="10" t="s">
        <v>106</v>
      </c>
      <c r="R76" s="10" t="s">
        <v>45</v>
      </c>
      <c r="S76" s="28">
        <v>7.033369</v>
      </c>
      <c r="T76" s="9"/>
      <c r="U76" s="28">
        <f>S76</f>
        <v>7.033369</v>
      </c>
      <c r="V76" s="28">
        <v>7.03</v>
      </c>
      <c r="W76" s="28">
        <f>V76</f>
        <v>7.03</v>
      </c>
      <c r="X76" s="54">
        <v>71.080803</v>
      </c>
      <c r="Y76" s="64">
        <v>60.702088</v>
      </c>
      <c r="Z76" s="62">
        <v>25.35</v>
      </c>
      <c r="AA76" s="9"/>
      <c r="AB76" s="28"/>
      <c r="AC76" s="28">
        <f>W76*0.4</f>
        <v>2.812</v>
      </c>
      <c r="AD76" s="79">
        <v>2.24</v>
      </c>
    </row>
    <row r="77" ht="31.5" customHeight="1" spans="1:30">
      <c r="A77" s="9"/>
      <c r="B77" s="10" t="s">
        <v>223</v>
      </c>
      <c r="C77" s="9"/>
      <c r="D77" s="9"/>
      <c r="E77" s="9"/>
      <c r="F77" s="9"/>
      <c r="G77" s="9"/>
      <c r="H77" s="9"/>
      <c r="I77" s="25"/>
      <c r="J77" s="25"/>
      <c r="K77" s="26"/>
      <c r="L77" s="26"/>
      <c r="M77" s="26"/>
      <c r="N77" s="10"/>
      <c r="O77" s="9"/>
      <c r="P77" s="10"/>
      <c r="Q77" s="10"/>
      <c r="R77" s="9"/>
      <c r="S77" s="28"/>
      <c r="T77" s="9"/>
      <c r="U77" s="28">
        <f t="shared" ref="U77:Z77" si="0">SUM(U4:U76)</f>
        <v>1079.285359</v>
      </c>
      <c r="V77" s="28">
        <f t="shared" si="0"/>
        <v>841.52682</v>
      </c>
      <c r="W77" s="28">
        <f t="shared" si="0"/>
        <v>841.52682</v>
      </c>
      <c r="X77" s="28">
        <f t="shared" si="0"/>
        <v>4011.533421</v>
      </c>
      <c r="Y77" s="28">
        <f t="shared" si="0"/>
        <v>3036.689268</v>
      </c>
      <c r="Z77" s="28">
        <f t="shared" si="0"/>
        <v>1648.96</v>
      </c>
      <c r="AA77" s="28" t="e">
        <f>SUM(AA4:AA41)</f>
        <v>#REF!</v>
      </c>
      <c r="AB77" s="28" t="e">
        <f>SUM(AB4:AB41)</f>
        <v>#REF!</v>
      </c>
      <c r="AC77" s="28">
        <f>SUM(AC4:AC76)</f>
        <v>251.7829445</v>
      </c>
      <c r="AD77" s="28">
        <f>SUM(AD4:AD76)</f>
        <v>200.00016297635</v>
      </c>
    </row>
    <row r="78" ht="24.95" customHeight="1"/>
    <row r="79" ht="24.95" customHeight="1"/>
    <row r="80" ht="24.95" customHeight="1"/>
    <row r="81" ht="24.95" customHeight="1"/>
  </sheetData>
  <mergeCells count="241">
    <mergeCell ref="A1:AD1"/>
    <mergeCell ref="B2:G2"/>
    <mergeCell ref="H2:U2"/>
    <mergeCell ref="X2:Z2"/>
    <mergeCell ref="AA2:AC2"/>
    <mergeCell ref="A2:A3"/>
    <mergeCell ref="A4:A5"/>
    <mergeCell ref="A6:A9"/>
    <mergeCell ref="A10:A12"/>
    <mergeCell ref="A14:A21"/>
    <mergeCell ref="A22:A23"/>
    <mergeCell ref="A24:A26"/>
    <mergeCell ref="A27:A31"/>
    <mergeCell ref="A33:A38"/>
    <mergeCell ref="A39:A40"/>
    <mergeCell ref="A41:A43"/>
    <mergeCell ref="A44:A45"/>
    <mergeCell ref="A46:A51"/>
    <mergeCell ref="A52:A56"/>
    <mergeCell ref="A57:A61"/>
    <mergeCell ref="A63:A64"/>
    <mergeCell ref="A67:A69"/>
    <mergeCell ref="A70:A72"/>
    <mergeCell ref="A73:A75"/>
    <mergeCell ref="B4:B5"/>
    <mergeCell ref="B6:B9"/>
    <mergeCell ref="B10:B12"/>
    <mergeCell ref="B14:B21"/>
    <mergeCell ref="B22:B23"/>
    <mergeCell ref="B24:B26"/>
    <mergeCell ref="B27:B31"/>
    <mergeCell ref="B33:B38"/>
    <mergeCell ref="B39:B40"/>
    <mergeCell ref="B41:B43"/>
    <mergeCell ref="B44:B45"/>
    <mergeCell ref="B46:B51"/>
    <mergeCell ref="B52:B56"/>
    <mergeCell ref="B57:B61"/>
    <mergeCell ref="B63:B64"/>
    <mergeCell ref="B67:B69"/>
    <mergeCell ref="B70:B72"/>
    <mergeCell ref="B73:B75"/>
    <mergeCell ref="C4:C5"/>
    <mergeCell ref="C6:C9"/>
    <mergeCell ref="C10:C12"/>
    <mergeCell ref="C14:C21"/>
    <mergeCell ref="C22:C23"/>
    <mergeCell ref="C24:C26"/>
    <mergeCell ref="C27:C31"/>
    <mergeCell ref="C33:C38"/>
    <mergeCell ref="C39:C40"/>
    <mergeCell ref="C41:C43"/>
    <mergeCell ref="C44:C45"/>
    <mergeCell ref="C46:C51"/>
    <mergeCell ref="C52:C56"/>
    <mergeCell ref="C57:C61"/>
    <mergeCell ref="C63:C64"/>
    <mergeCell ref="C67:C69"/>
    <mergeCell ref="C70:C72"/>
    <mergeCell ref="C73:C75"/>
    <mergeCell ref="D4:D5"/>
    <mergeCell ref="D6:D9"/>
    <mergeCell ref="D10:D12"/>
    <mergeCell ref="D14:D21"/>
    <mergeCell ref="D22:D23"/>
    <mergeCell ref="D24:D26"/>
    <mergeCell ref="D27:D31"/>
    <mergeCell ref="D33:D38"/>
    <mergeCell ref="D39:D40"/>
    <mergeCell ref="D41:D43"/>
    <mergeCell ref="D44:D45"/>
    <mergeCell ref="D46:D51"/>
    <mergeCell ref="D52:D56"/>
    <mergeCell ref="D57:D61"/>
    <mergeCell ref="D63:D64"/>
    <mergeCell ref="D67:D69"/>
    <mergeCell ref="D70:D72"/>
    <mergeCell ref="D73:D75"/>
    <mergeCell ref="E6:E8"/>
    <mergeCell ref="E10:E12"/>
    <mergeCell ref="E14:E17"/>
    <mergeCell ref="E27:E31"/>
    <mergeCell ref="F6:F8"/>
    <mergeCell ref="F10:F12"/>
    <mergeCell ref="F14:F17"/>
    <mergeCell ref="F27:F31"/>
    <mergeCell ref="G4:G5"/>
    <mergeCell ref="G6:G9"/>
    <mergeCell ref="G10:G12"/>
    <mergeCell ref="G14:G21"/>
    <mergeCell ref="G22:G23"/>
    <mergeCell ref="G24:G26"/>
    <mergeCell ref="G27:G31"/>
    <mergeCell ref="G33:G38"/>
    <mergeCell ref="G39:G40"/>
    <mergeCell ref="G41:G43"/>
    <mergeCell ref="G44:G45"/>
    <mergeCell ref="G46:G51"/>
    <mergeCell ref="G52:G56"/>
    <mergeCell ref="G57:G61"/>
    <mergeCell ref="G63:G64"/>
    <mergeCell ref="G67:G69"/>
    <mergeCell ref="G70:G72"/>
    <mergeCell ref="G73:G75"/>
    <mergeCell ref="T14:T17"/>
    <mergeCell ref="U4:U5"/>
    <mergeCell ref="U6:U9"/>
    <mergeCell ref="U10:U12"/>
    <mergeCell ref="U14:U21"/>
    <mergeCell ref="U22:U23"/>
    <mergeCell ref="U24:U26"/>
    <mergeCell ref="U27:U31"/>
    <mergeCell ref="U33:U38"/>
    <mergeCell ref="U39:U40"/>
    <mergeCell ref="U41:U43"/>
    <mergeCell ref="U44:U45"/>
    <mergeCell ref="U46:U51"/>
    <mergeCell ref="U52:U56"/>
    <mergeCell ref="U57:U61"/>
    <mergeCell ref="U63:U64"/>
    <mergeCell ref="U67:U69"/>
    <mergeCell ref="U70:U72"/>
    <mergeCell ref="U73:U75"/>
    <mergeCell ref="W4:W5"/>
    <mergeCell ref="W6:W9"/>
    <mergeCell ref="W10:W12"/>
    <mergeCell ref="W14:W21"/>
    <mergeCell ref="W22:W23"/>
    <mergeCell ref="W24:W26"/>
    <mergeCell ref="W27:W31"/>
    <mergeCell ref="W33:W38"/>
    <mergeCell ref="W39:W40"/>
    <mergeCell ref="W41:W43"/>
    <mergeCell ref="W44:W45"/>
    <mergeCell ref="W46:W51"/>
    <mergeCell ref="W52:W56"/>
    <mergeCell ref="W57:W61"/>
    <mergeCell ref="W63:W64"/>
    <mergeCell ref="W67:W69"/>
    <mergeCell ref="W70:W72"/>
    <mergeCell ref="W73:W75"/>
    <mergeCell ref="X4:X5"/>
    <mergeCell ref="X6:X9"/>
    <mergeCell ref="X10:X12"/>
    <mergeCell ref="X14:X21"/>
    <mergeCell ref="X22:X23"/>
    <mergeCell ref="X24:X26"/>
    <mergeCell ref="X27:X31"/>
    <mergeCell ref="X33:X38"/>
    <mergeCell ref="X39:X40"/>
    <mergeCell ref="X41:X43"/>
    <mergeCell ref="X44:X45"/>
    <mergeCell ref="X46:X51"/>
    <mergeCell ref="X52:X56"/>
    <mergeCell ref="X57:X61"/>
    <mergeCell ref="X63:X64"/>
    <mergeCell ref="X67:X69"/>
    <mergeCell ref="X70:X72"/>
    <mergeCell ref="X73:X75"/>
    <mergeCell ref="Y4:Y5"/>
    <mergeCell ref="Y6:Y9"/>
    <mergeCell ref="Y10:Y12"/>
    <mergeCell ref="Y14:Y21"/>
    <mergeCell ref="Y22:Y23"/>
    <mergeCell ref="Y24:Y26"/>
    <mergeCell ref="Y27:Y31"/>
    <mergeCell ref="Y33:Y38"/>
    <mergeCell ref="Y39:Y40"/>
    <mergeCell ref="Y41:Y43"/>
    <mergeCell ref="Y44:Y45"/>
    <mergeCell ref="Y46:Y51"/>
    <mergeCell ref="Y52:Y56"/>
    <mergeCell ref="Y57:Y61"/>
    <mergeCell ref="Y63:Y64"/>
    <mergeCell ref="Y67:Y69"/>
    <mergeCell ref="Y70:Y72"/>
    <mergeCell ref="Y73:Y75"/>
    <mergeCell ref="Z4:Z5"/>
    <mergeCell ref="Z6:Z9"/>
    <mergeCell ref="Z10:Z12"/>
    <mergeCell ref="Z14:Z21"/>
    <mergeCell ref="Z22:Z23"/>
    <mergeCell ref="Z24:Z26"/>
    <mergeCell ref="Z27:Z31"/>
    <mergeCell ref="Z33:Z38"/>
    <mergeCell ref="Z39:Z40"/>
    <mergeCell ref="Z41:Z43"/>
    <mergeCell ref="Z44:Z45"/>
    <mergeCell ref="Z46:Z51"/>
    <mergeCell ref="Z52:Z56"/>
    <mergeCell ref="Z57:Z61"/>
    <mergeCell ref="Z63:Z64"/>
    <mergeCell ref="Z67:Z69"/>
    <mergeCell ref="Z70:Z72"/>
    <mergeCell ref="Z73:Z75"/>
    <mergeCell ref="AA6:AA8"/>
    <mergeCell ref="AA10:AA12"/>
    <mergeCell ref="AA14:AA17"/>
    <mergeCell ref="AA27:AA31"/>
    <mergeCell ref="AB6:AB8"/>
    <mergeCell ref="AB10:AB12"/>
    <mergeCell ref="AB14:AB17"/>
    <mergeCell ref="AB27:AB31"/>
    <mergeCell ref="AC4:AC5"/>
    <mergeCell ref="AC6:AC9"/>
    <mergeCell ref="AC10:AC12"/>
    <mergeCell ref="AC14:AC21"/>
    <mergeCell ref="AC22:AC23"/>
    <mergeCell ref="AC24:AC26"/>
    <mergeCell ref="AC27:AC31"/>
    <mergeCell ref="AC33:AC38"/>
    <mergeCell ref="AC39:AC40"/>
    <mergeCell ref="AC41:AC43"/>
    <mergeCell ref="AC44:AC45"/>
    <mergeCell ref="AC46:AC51"/>
    <mergeCell ref="AC52:AC56"/>
    <mergeCell ref="AC57:AC61"/>
    <mergeCell ref="AC63:AC64"/>
    <mergeCell ref="AC67:AC69"/>
    <mergeCell ref="AC70:AC72"/>
    <mergeCell ref="AC73:AC75"/>
    <mergeCell ref="AD4:AD5"/>
    <mergeCell ref="AD6:AD9"/>
    <mergeCell ref="AD10:AD12"/>
    <mergeCell ref="AD14:AD21"/>
    <mergeCell ref="AD22:AD23"/>
    <mergeCell ref="AD24:AD26"/>
    <mergeCell ref="AD27:AD31"/>
    <mergeCell ref="AD33:AD38"/>
    <mergeCell ref="AD39:AD40"/>
    <mergeCell ref="AD41:AD43"/>
    <mergeCell ref="AD44:AD45"/>
    <mergeCell ref="AD46:AD51"/>
    <mergeCell ref="AD52:AD56"/>
    <mergeCell ref="AD57:AD61"/>
    <mergeCell ref="AD63:AD64"/>
    <mergeCell ref="AD67:AD69"/>
    <mergeCell ref="AD70:AD72"/>
    <mergeCell ref="AD73:AD75"/>
    <mergeCell ref="AE7:AE8"/>
    <mergeCell ref="AE11:AE12"/>
  </mergeCells>
  <pageMargins left="0.751388888888889" right="0.751388888888889" top="1" bottom="1" header="0.511805555555556" footer="0.511805555555556"/>
  <pageSetup paperSize="9" scale="57" fitToHeight="0" orientation="landscape" horizontalDpi="600"/>
  <headerFooter alignWithMargins="0" scaleWithDoc="0"/>
  <ignoredErrors>
    <ignoredError sqref="U57" formulaRange="1"/>
    <ignoredError sqref="V64:V65 V56 V1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W113" sqref="W11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W113" sqref="W11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雨之人也</cp:lastModifiedBy>
  <dcterms:created xsi:type="dcterms:W3CDTF">2018-12-12T15:52:00Z</dcterms:created>
  <cp:lastPrinted>2023-02-19T08:42:00Z</cp:lastPrinted>
  <dcterms:modified xsi:type="dcterms:W3CDTF">2025-08-06T11:07:24Z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62158ED42CA4628AECC69268093CED4B_43</vt:lpwstr>
  </property>
  <property fmtid="{D5CDD505-2E9C-101B-9397-08002B2CF9AE}" pid="4" name="KSOReadingLayout">
    <vt:bool>true</vt:bool>
  </property>
</Properties>
</file>