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160" windowHeight="8640" firstSheet="23" activeTab="24"/>
  </bookViews>
  <sheets>
    <sheet name="1.2021年一般公共预算收入预测表" sheetId="1" r:id="rId1"/>
    <sheet name="2.2021年一般公共预算财力预测表" sheetId="2" r:id="rId2"/>
    <sheet name="3.2021年一般公共预算支出表" sheetId="3" r:id="rId3"/>
    <sheet name="4.2021年一般公共预算本级支出表" sheetId="4" r:id="rId4"/>
    <sheet name="5.2021年一般公共预算本级基本支出表－工资福利支出" sheetId="5" r:id="rId5"/>
    <sheet name="6.2021年一般公共预算基本支出表－一般商品和服务支出" sheetId="6" r:id="rId6"/>
    <sheet name="7.2021年一般公共预算基本支出表－对个人和家庭的补助" sheetId="7" r:id="rId7"/>
    <sheet name="8.2021年一般公共预算税收返还和转移支付表" sheetId="8" r:id="rId8"/>
    <sheet name="9.社会保险基金预算总表" sheetId="14" r:id="rId9"/>
    <sheet name="10.社会保险基金预算收入表" sheetId="18" r:id="rId10"/>
    <sheet name="11.社会保险基金预算支出表" sheetId="19" r:id="rId11"/>
    <sheet name="12.城乡居民基本养老收支预算表" sheetId="15" r:id="rId12"/>
    <sheet name="13.机关事业单位基本养老收支预算表" sheetId="16" r:id="rId13"/>
    <sheet name="14.失业保险基金收支预算表" sheetId="17" r:id="rId14"/>
    <sheet name="15.2021年政府性基金收入预算表" sheetId="9" r:id="rId15"/>
    <sheet name="16.2021年政府性基金支出预算表" sheetId="10" r:id="rId16"/>
    <sheet name="17.2021年政府性基金转移支付表" sheetId="11" r:id="rId17"/>
    <sheet name="18.2021年国有资本经营收入预算表" sheetId="12" r:id="rId18"/>
    <sheet name="19.2021年国有资本经营支出预算表" sheetId="13" r:id="rId19"/>
    <sheet name="20.2021年区级扶贫资金安排分配情况表" sheetId="21" r:id="rId20"/>
    <sheet name="21.2021年芦淞区专项转移支付分项目分地区预算明细表" sheetId="20" r:id="rId21"/>
    <sheet name="22.政府一般债务限额和余额情况表" sheetId="22" r:id="rId22"/>
    <sheet name="23.政府专项债务限额和余额情况表" sheetId="23" r:id="rId23"/>
    <sheet name="24.2021年新增政府一般债券安排情况表" sheetId="24" r:id="rId24"/>
    <sheet name="25.2021年区本级“三公”经费预算财政拨款情况统计表" sheetId="25" r:id="rId25"/>
  </sheets>
  <externalReferences>
    <externalReference r:id="rId27"/>
  </externalReferences>
  <calcPr calcId="144525"/>
</workbook>
</file>

<file path=xl/sharedStrings.xml><?xml version="1.0" encoding="utf-8"?>
<sst xmlns="http://schemas.openxmlformats.org/spreadsheetml/2006/main" count="5963" uniqueCount="1032">
  <si>
    <t>附件1</t>
  </si>
  <si>
    <t>2021年一般公共预算收入预测表</t>
  </si>
  <si>
    <t>单位：万元</t>
  </si>
  <si>
    <r>
      <rPr>
        <b/>
        <sz val="11"/>
        <color indexed="8"/>
        <rFont val="Times New Roman"/>
        <charset val="0"/>
      </rPr>
      <t xml:space="preserve">  </t>
    </r>
    <r>
      <rPr>
        <b/>
        <sz val="11"/>
        <color indexed="8"/>
        <rFont val="宋体"/>
        <charset val="134"/>
      </rPr>
      <t>项</t>
    </r>
    <r>
      <rPr>
        <b/>
        <sz val="11"/>
        <color indexed="8"/>
        <rFont val="Times New Roman"/>
        <charset val="0"/>
      </rPr>
      <t xml:space="preserve">   </t>
    </r>
    <r>
      <rPr>
        <b/>
        <sz val="11"/>
        <color indexed="8"/>
        <rFont val="宋体"/>
        <charset val="134"/>
      </rPr>
      <t>目</t>
    </r>
  </si>
  <si>
    <r>
      <rPr>
        <b/>
        <sz val="11"/>
        <color rgb="FF000000"/>
        <rFont val="Times New Roman"/>
        <charset val="0"/>
      </rPr>
      <t>2018</t>
    </r>
    <r>
      <rPr>
        <b/>
        <sz val="11"/>
        <color rgb="FF000000"/>
        <rFont val="宋体"/>
        <charset val="134"/>
      </rPr>
      <t>年完成数</t>
    </r>
  </si>
  <si>
    <r>
      <rPr>
        <b/>
        <sz val="11"/>
        <color rgb="FF000000"/>
        <rFont val="Times New Roman"/>
        <charset val="0"/>
      </rPr>
      <t>2020</t>
    </r>
    <r>
      <rPr>
        <b/>
        <sz val="11"/>
        <color rgb="FF000000"/>
        <rFont val="宋体"/>
        <charset val="0"/>
      </rPr>
      <t>年完成数</t>
    </r>
  </si>
  <si>
    <r>
      <rPr>
        <b/>
        <sz val="11"/>
        <rFont val="Times New Roman"/>
        <charset val="0"/>
      </rPr>
      <t>2021</t>
    </r>
    <r>
      <rPr>
        <b/>
        <sz val="11"/>
        <rFont val="宋体"/>
        <charset val="0"/>
      </rPr>
      <t>年预算数</t>
    </r>
  </si>
  <si>
    <t>增减额</t>
  </si>
  <si>
    <r>
      <rPr>
        <b/>
        <sz val="11"/>
        <color rgb="FF000000"/>
        <rFont val="宋体"/>
        <charset val="134"/>
      </rPr>
      <t>增幅</t>
    </r>
    <r>
      <rPr>
        <b/>
        <sz val="11"/>
        <color rgb="FF000000"/>
        <rFont val="Times New Roman"/>
        <charset val="0"/>
      </rPr>
      <t>%</t>
    </r>
  </si>
  <si>
    <t>一、地方公共财政预算收入</t>
  </si>
  <si>
    <t>地方税收收入比列%</t>
  </si>
  <si>
    <t>（一）税收收入</t>
  </si>
  <si>
    <t>1、增值税</t>
  </si>
  <si>
    <t>2、企业所得税</t>
  </si>
  <si>
    <t>3、个人所得税</t>
  </si>
  <si>
    <t>4、资源税</t>
  </si>
  <si>
    <t>5、城市维护建设税</t>
  </si>
  <si>
    <t>6、房产税</t>
  </si>
  <si>
    <t>7、印花税</t>
  </si>
  <si>
    <t>8、城镇土地使用税</t>
  </si>
  <si>
    <t>10、土地增值税</t>
  </si>
  <si>
    <t>11、耕地占用税</t>
  </si>
  <si>
    <t>12.环境保护税</t>
  </si>
  <si>
    <t>13、其他税收收入</t>
  </si>
  <si>
    <t>（二）非税收入</t>
  </si>
  <si>
    <t>1、专项收入</t>
  </si>
  <si>
    <t>其中：残疾人保障金</t>
  </si>
  <si>
    <t xml:space="preserve">      教育附加和地方教育附加</t>
  </si>
  <si>
    <t xml:space="preserve">      森林植被恢复费</t>
  </si>
  <si>
    <t>2、行政事业性收费收入</t>
  </si>
  <si>
    <t>3、罚没收入</t>
  </si>
  <si>
    <t>4、国有资源（资产）有偿使用收入</t>
  </si>
  <si>
    <t>5、捐赠收入</t>
  </si>
  <si>
    <t>6、其他收入</t>
  </si>
  <si>
    <t>二、上划中央公共财政预算收入</t>
  </si>
  <si>
    <t>2、消费税</t>
  </si>
  <si>
    <t>3、企业所得税</t>
  </si>
  <si>
    <t>4、个人所得税</t>
  </si>
  <si>
    <t>三、上划省级公共财政预算收入</t>
  </si>
  <si>
    <t>5、城镇土地使用税</t>
  </si>
  <si>
    <t>6、环境保护税（30%部分）</t>
  </si>
  <si>
    <t>6、资源税</t>
  </si>
  <si>
    <t>公共财政预算总收入</t>
  </si>
  <si>
    <t>其中：税收收入</t>
  </si>
  <si>
    <r>
      <rPr>
        <sz val="10"/>
        <color indexed="8"/>
        <rFont val="Times New Roman"/>
        <charset val="0"/>
      </rPr>
      <t xml:space="preserve">            </t>
    </r>
    <r>
      <rPr>
        <sz val="10"/>
        <color indexed="8"/>
        <rFont val="宋体"/>
        <charset val="134"/>
      </rPr>
      <t>非税收入</t>
    </r>
  </si>
  <si>
    <r>
      <rPr>
        <sz val="10"/>
        <color indexed="8"/>
        <rFont val="宋体"/>
        <charset val="134"/>
      </rPr>
      <t>税收收入占总收入的比例</t>
    </r>
    <r>
      <rPr>
        <sz val="10"/>
        <color indexed="8"/>
        <rFont val="Times New Roman"/>
        <charset val="0"/>
      </rPr>
      <t xml:space="preserve">%        </t>
    </r>
  </si>
  <si>
    <t>附件2</t>
  </si>
  <si>
    <t>2021年一般公共预算财力预测表</t>
  </si>
  <si>
    <t>预算科目</t>
  </si>
  <si>
    <t>金额</t>
  </si>
  <si>
    <t>备注</t>
  </si>
  <si>
    <t>一、本年收入</t>
  </si>
  <si>
    <t>三、上年结转</t>
  </si>
  <si>
    <t>抗疫国债3000万元，2020年一般债3569.66万元，上年结转上级转移支付33.1万元。</t>
  </si>
  <si>
    <t>四、调入资金</t>
  </si>
  <si>
    <t xml:space="preserve">     非税收入</t>
  </si>
  <si>
    <t>非税收入13225万元。其中：可用财力8153.82万元：教育费附加2848万元、残保金207万、森林植被恢复费330万元，非税统筹4768.82万元；安排执收成本列收列5071.18万元。</t>
  </si>
  <si>
    <t>（一）政府性基金调入</t>
  </si>
  <si>
    <t>二、上级补助收入</t>
  </si>
  <si>
    <t>（二）国有资本经营预算调入</t>
  </si>
  <si>
    <t>（一）返还性收入</t>
  </si>
  <si>
    <t>（三）财政专户管理资金调入</t>
  </si>
  <si>
    <t>1、增值税和消费税税收返还收入</t>
  </si>
  <si>
    <t>（四）其他调入</t>
  </si>
  <si>
    <t>2、所得税基数返还收入</t>
  </si>
  <si>
    <t>五、上解上级支出</t>
  </si>
  <si>
    <t>3、其他税收返还</t>
  </si>
  <si>
    <t>营业税基数返还2780万元，土地使用税返还262万元</t>
  </si>
  <si>
    <t>（一）出口退税专项上解支出</t>
  </si>
  <si>
    <t>（二）一般性转移支付收入</t>
  </si>
  <si>
    <t>（二）专项上解支出</t>
  </si>
  <si>
    <t>1、体制补助收入</t>
  </si>
  <si>
    <t>1、固定基数上解</t>
  </si>
  <si>
    <t>2、均衡性转移支付收入</t>
  </si>
  <si>
    <t>2021年提前下达5339万元，机关养老945万元</t>
  </si>
  <si>
    <t>（1）农业税价差上解</t>
  </si>
  <si>
    <t>3、县级基本财力保障机制奖补资金收入</t>
  </si>
  <si>
    <t>2020年基数1122万元</t>
  </si>
  <si>
    <t>（2）中央借款数上解</t>
  </si>
  <si>
    <t>4、结算补助收入</t>
  </si>
  <si>
    <t>育林基金2万元</t>
  </si>
  <si>
    <t>（3）向中央作贡献上解</t>
  </si>
  <si>
    <t>5、企业事业单位划转补助收入</t>
  </si>
  <si>
    <t>（4）税务经费上划</t>
  </si>
  <si>
    <t>6、农村综合改革转移支付收入</t>
  </si>
  <si>
    <t>村级运转基数12万元</t>
  </si>
  <si>
    <t>（5）乡镇财政管理经费</t>
  </si>
  <si>
    <t>7、固定数额补助收入</t>
  </si>
  <si>
    <t>2015年调资基数1854万，农村税费改革转移支付补助收入167</t>
  </si>
  <si>
    <t>（6）土地增值税、使用税上解</t>
  </si>
  <si>
    <t>8、其他一般性转移支付收入</t>
  </si>
  <si>
    <t>2、其他专项上解</t>
  </si>
  <si>
    <t>（1）市、区体制补助</t>
  </si>
  <si>
    <t>分享财力补助14218万元、递增补助基数286</t>
  </si>
  <si>
    <t>（1）援疆援藏</t>
  </si>
  <si>
    <t>（2）城管体制调整支出基数补助</t>
  </si>
  <si>
    <t>（2）环保税上解</t>
  </si>
  <si>
    <t>（3）税务经费补助</t>
  </si>
  <si>
    <t>（3）城建税留成基数上解</t>
  </si>
  <si>
    <t>（4）教育经费补助</t>
  </si>
  <si>
    <t>（4）金融增值税上解</t>
  </si>
  <si>
    <t>（5）城建税、教育附加超收补助</t>
  </si>
  <si>
    <t>（5）教育附加上解</t>
  </si>
  <si>
    <t>（6）区划体制调整财力补助</t>
  </si>
  <si>
    <t>（6）耕地占用税上解</t>
  </si>
  <si>
    <t>（7）其他固定补助</t>
  </si>
  <si>
    <t>烟草512万元、欧科亿264万元、中石化142万元，二手房1767万元，社区运转45万元，基层医卫31.3万元,老年乡村医生9.6万元，乡镇老放映员3万元,民办代课老师困难补助60万元，市场监管下放2277万元。</t>
  </si>
  <si>
    <t>（7）其他上解</t>
  </si>
  <si>
    <t>（三）提前下达及预计转移支付收入</t>
  </si>
  <si>
    <t>预计上级转移支付24606.22万元。</t>
  </si>
  <si>
    <t>六、可用财力</t>
  </si>
  <si>
    <t>附件3</t>
  </si>
  <si>
    <r>
      <rPr>
        <b/>
        <sz val="16"/>
        <rFont val="Times New Roman"/>
        <charset val="0"/>
      </rPr>
      <t>2021</t>
    </r>
    <r>
      <rPr>
        <b/>
        <sz val="16"/>
        <rFont val="宋体"/>
        <charset val="0"/>
      </rPr>
      <t>年一般公共预算支出表</t>
    </r>
  </si>
  <si>
    <t>单位：元</t>
  </si>
  <si>
    <t>单位名称</t>
  </si>
  <si>
    <t>类</t>
  </si>
  <si>
    <t>款</t>
  </si>
  <si>
    <t>项</t>
  </si>
  <si>
    <t>支出类别</t>
  </si>
  <si>
    <t>项目类型</t>
  </si>
  <si>
    <t>项目支出名称</t>
  </si>
  <si>
    <r>
      <rPr>
        <sz val="10"/>
        <rFont val="Times New Roman"/>
        <charset val="0"/>
      </rPr>
      <t>2021</t>
    </r>
    <r>
      <rPr>
        <sz val="10"/>
        <rFont val="宋体"/>
        <charset val="0"/>
      </rPr>
      <t>年预算数</t>
    </r>
  </si>
  <si>
    <t>其中：</t>
  </si>
  <si>
    <r>
      <rPr>
        <sz val="10"/>
        <rFont val="Times New Roman"/>
        <charset val="0"/>
      </rPr>
      <t>2021</t>
    </r>
    <r>
      <rPr>
        <sz val="10"/>
        <rFont val="宋体"/>
        <charset val="0"/>
      </rPr>
      <t>年区级全额拨款申请数</t>
    </r>
  </si>
  <si>
    <t>摘要</t>
  </si>
  <si>
    <t>上级转移支付</t>
  </si>
  <si>
    <t>区本级安排数</t>
  </si>
  <si>
    <t>小计</t>
  </si>
  <si>
    <t>财政全额拨款</t>
  </si>
  <si>
    <t>纳入预算的非税收入拨款</t>
  </si>
  <si>
    <t>上年结转</t>
  </si>
  <si>
    <r>
      <rPr>
        <sz val="10"/>
        <rFont val="宋体"/>
        <charset val="134"/>
      </rPr>
      <t>合</t>
    </r>
    <r>
      <rPr>
        <sz val="10"/>
        <rFont val="Times New Roman"/>
        <charset val="0"/>
      </rPr>
      <t xml:space="preserve">   </t>
    </r>
    <r>
      <rPr>
        <sz val="10"/>
        <rFont val="宋体"/>
        <charset val="134"/>
      </rPr>
      <t>计</t>
    </r>
  </si>
  <si>
    <t>区本级</t>
  </si>
  <si>
    <t>201</t>
  </si>
  <si>
    <t>人员类</t>
  </si>
  <si>
    <t>公共类</t>
  </si>
  <si>
    <t>预留人员经费</t>
  </si>
  <si>
    <t>其中教育系统31578.28万元。预留人员经费2500万元，保障教师平均待遇不低于公务员700万元，乡镇干部工资高于同职级机关干部15%部分500万元，预算调整1000万元，绿化体制改革200万元，其他100万元。</t>
  </si>
  <si>
    <t>特定目标类</t>
  </si>
  <si>
    <t>社区运转经费</t>
  </si>
  <si>
    <t>含社区人员工资、党建、团建、妇建、运转经费、惠民资金。</t>
  </si>
  <si>
    <t>07</t>
  </si>
  <si>
    <t>05</t>
  </si>
  <si>
    <t>村级运转经费</t>
  </si>
  <si>
    <r>
      <rPr>
        <sz val="10"/>
        <rFont val="宋体"/>
        <charset val="0"/>
      </rPr>
      <t>含村干部工资，党建、团建、妇建、运转经费、惠民资金，村级集体经济引导1046万元，大学生村官</t>
    </r>
    <r>
      <rPr>
        <sz val="10"/>
        <rFont val="Times New Roman"/>
        <charset val="0"/>
      </rPr>
      <t>19</t>
    </r>
    <r>
      <rPr>
        <sz val="10"/>
        <rFont val="宋体"/>
        <charset val="0"/>
      </rPr>
      <t>万元，离任村干部补贴</t>
    </r>
    <r>
      <rPr>
        <sz val="10"/>
        <rFont val="Times New Roman"/>
        <charset val="0"/>
      </rPr>
      <t>130</t>
    </r>
    <r>
      <rPr>
        <sz val="10"/>
        <rFont val="宋体"/>
        <charset val="0"/>
      </rPr>
      <t>万元，村干部保险及养老保险补贴</t>
    </r>
    <r>
      <rPr>
        <sz val="10"/>
        <rFont val="Times New Roman"/>
        <charset val="0"/>
      </rPr>
      <t>5</t>
    </r>
    <r>
      <rPr>
        <sz val="10"/>
        <rFont val="宋体"/>
        <charset val="0"/>
      </rPr>
      <t>万元。</t>
    </r>
  </si>
  <si>
    <t>03</t>
  </si>
  <si>
    <t>换届经费</t>
  </si>
  <si>
    <t>村（社区）两委、党代表、人大、政协换届经费</t>
  </si>
  <si>
    <t>32</t>
  </si>
  <si>
    <t>99</t>
  </si>
  <si>
    <t>党建经费</t>
  </si>
  <si>
    <r>
      <rPr>
        <sz val="10"/>
        <rFont val="宋体"/>
        <charset val="134"/>
      </rPr>
      <t>党建业务经费</t>
    </r>
    <r>
      <rPr>
        <sz val="10"/>
        <rFont val="Times New Roman"/>
        <charset val="134"/>
      </rPr>
      <t>10</t>
    </r>
    <r>
      <rPr>
        <sz val="10"/>
        <rFont val="宋体"/>
        <charset val="134"/>
      </rPr>
      <t>万元，党建党教及设备维护20万元，党校建设</t>
    </r>
    <r>
      <rPr>
        <sz val="10"/>
        <rFont val="Times New Roman"/>
        <charset val="134"/>
      </rPr>
      <t>10</t>
    </r>
    <r>
      <rPr>
        <sz val="10"/>
        <rFont val="宋体"/>
        <charset val="134"/>
      </rPr>
      <t>万元，两新党建</t>
    </r>
    <r>
      <rPr>
        <sz val="10"/>
        <rFont val="Times New Roman"/>
        <charset val="134"/>
      </rPr>
      <t>15</t>
    </r>
    <r>
      <rPr>
        <sz val="10"/>
        <rFont val="宋体"/>
        <charset val="134"/>
      </rPr>
      <t>万元，党代表联络经费10万元，农民大学生培养</t>
    </r>
    <r>
      <rPr>
        <sz val="10"/>
        <rFont val="Times New Roman"/>
        <charset val="134"/>
      </rPr>
      <t>3.75</t>
    </r>
    <r>
      <rPr>
        <sz val="10"/>
        <rFont val="宋体"/>
        <charset val="134"/>
      </rPr>
      <t>万元，第一书记经费</t>
    </r>
    <r>
      <rPr>
        <sz val="10"/>
        <rFont val="Times New Roman"/>
        <charset val="134"/>
      </rPr>
      <t>28</t>
    </r>
    <r>
      <rPr>
        <sz val="10"/>
        <rFont val="宋体"/>
        <charset val="134"/>
      </rPr>
      <t>万元，村集体经济</t>
    </r>
    <r>
      <rPr>
        <sz val="10"/>
        <rFont val="Times New Roman"/>
        <charset val="134"/>
      </rPr>
      <t>5</t>
    </r>
    <r>
      <rPr>
        <sz val="10"/>
        <rFont val="宋体"/>
        <charset val="134"/>
      </rPr>
      <t>万元。</t>
    </r>
  </si>
  <si>
    <t>33</t>
  </si>
  <si>
    <r>
      <rPr>
        <sz val="10"/>
        <rFont val="宋体"/>
        <charset val="134"/>
      </rPr>
      <t>建党</t>
    </r>
    <r>
      <rPr>
        <sz val="10"/>
        <rFont val="Times New Roman"/>
        <charset val="0"/>
      </rPr>
      <t>100</t>
    </r>
    <r>
      <rPr>
        <sz val="10"/>
        <rFont val="宋体"/>
        <charset val="0"/>
      </rPr>
      <t>周年经费</t>
    </r>
  </si>
  <si>
    <t>含宣讲、活动经费</t>
  </si>
  <si>
    <t>意识形态专项</t>
  </si>
  <si>
    <r>
      <rPr>
        <sz val="10"/>
        <rFont val="宋体"/>
        <charset val="134"/>
      </rPr>
      <t>创文经费30万元，新时代文明实践中心建设2</t>
    </r>
    <r>
      <rPr>
        <sz val="10"/>
        <rFont val="Times New Roman"/>
        <charset val="134"/>
      </rPr>
      <t>0</t>
    </r>
    <r>
      <rPr>
        <sz val="10"/>
        <rFont val="宋体"/>
        <charset val="134"/>
      </rPr>
      <t>万元，中心组学习</t>
    </r>
    <r>
      <rPr>
        <sz val="10"/>
        <rFont val="Times New Roman"/>
        <charset val="134"/>
      </rPr>
      <t>15</t>
    </r>
    <r>
      <rPr>
        <sz val="10"/>
        <rFont val="宋体"/>
        <charset val="134"/>
      </rPr>
      <t>万元，意识形态工作宣教经费20万，公益电影放映配套</t>
    </r>
    <r>
      <rPr>
        <sz val="10"/>
        <rFont val="Times New Roman"/>
        <charset val="134"/>
      </rPr>
      <t>4</t>
    </r>
    <r>
      <rPr>
        <sz val="10"/>
        <rFont val="宋体"/>
        <charset val="134"/>
      </rPr>
      <t>万元，掌上芦淞运维费</t>
    </r>
    <r>
      <rPr>
        <sz val="10"/>
        <rFont val="Times New Roman"/>
        <charset val="134"/>
      </rPr>
      <t>30</t>
    </r>
    <r>
      <rPr>
        <sz val="10"/>
        <rFont val="宋体"/>
        <charset val="134"/>
      </rPr>
      <t>万元，芦淞宣传维护费</t>
    </r>
    <r>
      <rPr>
        <sz val="10"/>
        <rFont val="Times New Roman"/>
        <charset val="134"/>
      </rPr>
      <t>15</t>
    </r>
    <r>
      <rPr>
        <sz val="10"/>
        <rFont val="宋体"/>
        <charset val="134"/>
      </rPr>
      <t>万元，舆情监测维护费</t>
    </r>
    <r>
      <rPr>
        <sz val="10"/>
        <rFont val="Times New Roman"/>
        <charset val="134"/>
      </rPr>
      <t>3.6</t>
    </r>
    <r>
      <rPr>
        <sz val="10"/>
        <rFont val="宋体"/>
        <charset val="134"/>
      </rPr>
      <t>万元，网评员和舆情信息奖励</t>
    </r>
    <r>
      <rPr>
        <sz val="10"/>
        <rFont val="Times New Roman"/>
        <charset val="134"/>
      </rPr>
      <t>7</t>
    </r>
    <r>
      <rPr>
        <sz val="10"/>
        <rFont val="宋体"/>
        <charset val="134"/>
      </rPr>
      <t>万元。</t>
    </r>
  </si>
  <si>
    <t>11</t>
  </si>
  <si>
    <t>04</t>
  </si>
  <si>
    <t>办案专项经费</t>
  </si>
  <si>
    <r>
      <rPr>
        <sz val="10"/>
        <rFont val="Times New Roman"/>
        <charset val="0"/>
      </rPr>
      <t>3</t>
    </r>
    <r>
      <rPr>
        <sz val="10"/>
        <rFont val="宋体"/>
        <charset val="0"/>
      </rPr>
      <t>台公车运维费用</t>
    </r>
    <r>
      <rPr>
        <sz val="10"/>
        <rFont val="Times New Roman"/>
        <charset val="0"/>
      </rPr>
      <t>9</t>
    </r>
    <r>
      <rPr>
        <sz val="10"/>
        <rFont val="宋体"/>
        <charset val="0"/>
      </rPr>
      <t>万元，留置案件</t>
    </r>
    <r>
      <rPr>
        <sz val="10"/>
        <rFont val="Times New Roman"/>
        <charset val="0"/>
      </rPr>
      <t>46</t>
    </r>
    <r>
      <rPr>
        <sz val="10"/>
        <rFont val="宋体"/>
        <charset val="0"/>
      </rPr>
      <t>万元，案件线索</t>
    </r>
    <r>
      <rPr>
        <sz val="10"/>
        <rFont val="Times New Roman"/>
        <charset val="0"/>
      </rPr>
      <t>5</t>
    </r>
    <r>
      <rPr>
        <sz val="10"/>
        <rFont val="宋体"/>
        <charset val="0"/>
      </rPr>
      <t>万元。</t>
    </r>
  </si>
  <si>
    <t>34</t>
  </si>
  <si>
    <t>统战工作经费</t>
  </si>
  <si>
    <t>含民族、宗教、党外知识分子、新阶层、四同创建等工作经费。</t>
  </si>
  <si>
    <t>基层民主党派工作经费</t>
  </si>
  <si>
    <t>204</t>
  </si>
  <si>
    <t>01</t>
  </si>
  <si>
    <t>综治维稳反恐经费</t>
  </si>
  <si>
    <r>
      <rPr>
        <sz val="10"/>
        <rFont val="宋体"/>
        <charset val="134"/>
      </rPr>
      <t>含反邪、国家安全、综治维稳9</t>
    </r>
    <r>
      <rPr>
        <sz val="10"/>
        <rFont val="Times New Roman"/>
        <charset val="134"/>
      </rPr>
      <t>0</t>
    </r>
    <r>
      <rPr>
        <sz val="10"/>
        <rFont val="宋体"/>
        <charset val="134"/>
      </rPr>
      <t>万元，政法内网建设22万元，反恐20万元，综治建设经费</t>
    </r>
    <r>
      <rPr>
        <sz val="10"/>
        <rFont val="Times New Roman"/>
        <charset val="134"/>
      </rPr>
      <t>120</t>
    </r>
    <r>
      <rPr>
        <sz val="10"/>
        <rFont val="宋体"/>
        <charset val="134"/>
      </rPr>
      <t>万元。</t>
    </r>
  </si>
  <si>
    <t>扫黑除恶经费</t>
  </si>
  <si>
    <t>禁毒专项经费</t>
  </si>
  <si>
    <t>人武经费</t>
  </si>
  <si>
    <t>征兵工作65万元，组织建设44.31万元，民兵训练基地29万元，装备费7万元，政治工作费2.23万元，民兵战备7.95万元，军事训练69.01万元，国防教育10万元。信息化建设45.5万元。</t>
  </si>
  <si>
    <t>26</t>
  </si>
  <si>
    <t>档案、党史及区志专项</t>
  </si>
  <si>
    <t>31</t>
  </si>
  <si>
    <t>信创工程建设经费</t>
  </si>
  <si>
    <t>机构改革和事业单位登记经费</t>
  </si>
  <si>
    <t>含事业单位分类改革。</t>
  </si>
  <si>
    <t>06</t>
  </si>
  <si>
    <t>建议提案办理经费</t>
  </si>
  <si>
    <t>含民生实事票选制经费。</t>
  </si>
  <si>
    <t>29</t>
  </si>
  <si>
    <t>乡镇（街道）工会工作经费</t>
  </si>
  <si>
    <t>妇女儿童事业发展经费</t>
  </si>
  <si>
    <t>含两癌工作经费</t>
  </si>
  <si>
    <t>团委深化改革经费</t>
  </si>
  <si>
    <t>社会信用体系建设工作经费</t>
  </si>
  <si>
    <t>据实安排</t>
  </si>
  <si>
    <t>规划编制与实施工作经费</t>
  </si>
  <si>
    <t>产业项目、温暖企业活动奖励经费</t>
  </si>
  <si>
    <t>结合上级奖励统筹安排。</t>
  </si>
  <si>
    <t>重点项目推进经费</t>
  </si>
  <si>
    <t>省真抓实干专项经费</t>
  </si>
  <si>
    <t>206</t>
  </si>
  <si>
    <t>自主创新区域经济高质量发展专项</t>
  </si>
  <si>
    <t>与上级不重复奖补。</t>
  </si>
  <si>
    <t>人才专项</t>
  </si>
  <si>
    <r>
      <rPr>
        <sz val="10"/>
        <rFont val="宋体"/>
        <charset val="134"/>
      </rPr>
      <t>人才补贴</t>
    </r>
    <r>
      <rPr>
        <sz val="10"/>
        <rFont val="Times New Roman"/>
        <charset val="134"/>
      </rPr>
      <t>170</t>
    </r>
    <r>
      <rPr>
        <sz val="10"/>
        <rFont val="宋体"/>
        <charset val="134"/>
      </rPr>
      <t>万元，全年各类人才交流活动经费</t>
    </r>
    <r>
      <rPr>
        <sz val="10"/>
        <rFont val="Times New Roman"/>
        <charset val="134"/>
      </rPr>
      <t>10</t>
    </r>
    <r>
      <rPr>
        <sz val="10"/>
        <rFont val="宋体"/>
        <charset val="134"/>
      </rPr>
      <t>万元，干部招录及教育2</t>
    </r>
    <r>
      <rPr>
        <sz val="10"/>
        <rFont val="Times New Roman"/>
        <charset val="134"/>
      </rPr>
      <t>0</t>
    </r>
    <r>
      <rPr>
        <sz val="10"/>
        <rFont val="宋体"/>
        <charset val="134"/>
      </rPr>
      <t>万元。</t>
    </r>
  </si>
  <si>
    <t>财源建设资金</t>
  </si>
  <si>
    <t>财源建设政策兑现。</t>
  </si>
  <si>
    <t>13</t>
  </si>
  <si>
    <t>08</t>
  </si>
  <si>
    <t>招商引资及商贸流通专项</t>
  </si>
  <si>
    <t>含招商政策兑现及稳外贸扶持补贴。</t>
  </si>
  <si>
    <t>服饰产业联合会经费</t>
  </si>
  <si>
    <t>服饰产业链联合会场地费用</t>
  </si>
  <si>
    <t>222</t>
  </si>
  <si>
    <t>粮食储备专项</t>
  </si>
  <si>
    <t>2020-2021年区级储备粮轮换经费。</t>
  </si>
  <si>
    <t>业务类</t>
  </si>
  <si>
    <t>综合指挥中心平台整合及数据对接经费</t>
  </si>
  <si>
    <t>设备维护费</t>
  </si>
  <si>
    <t>全区网格化专项工作经费</t>
  </si>
  <si>
    <t>兼职网格员20万，贺办、建宁网格员手机通讯费30万，网格化工作经费10万。</t>
  </si>
  <si>
    <r>
      <rPr>
        <sz val="10"/>
        <rFont val="宋体"/>
        <charset val="134"/>
      </rPr>
      <t>政务大厅管理及</t>
    </r>
    <r>
      <rPr>
        <sz val="10"/>
        <rFont val="Times New Roman"/>
        <charset val="134"/>
      </rPr>
      <t>“</t>
    </r>
    <r>
      <rPr>
        <sz val="10"/>
        <rFont val="宋体"/>
        <charset val="134"/>
      </rPr>
      <t>互联网</t>
    </r>
    <r>
      <rPr>
        <sz val="10"/>
        <rFont val="Times New Roman"/>
        <charset val="134"/>
      </rPr>
      <t>+</t>
    </r>
    <r>
      <rPr>
        <sz val="10"/>
        <rFont val="宋体"/>
        <charset val="134"/>
      </rPr>
      <t>政务服务</t>
    </r>
    <r>
      <rPr>
        <sz val="10"/>
        <rFont val="Times New Roman"/>
        <charset val="134"/>
      </rPr>
      <t>”</t>
    </r>
    <r>
      <rPr>
        <sz val="10"/>
        <rFont val="宋体"/>
        <charset val="134"/>
      </rPr>
      <t>建设经费</t>
    </r>
  </si>
  <si>
    <r>
      <rPr>
        <sz val="10"/>
        <rFont val="宋体"/>
        <charset val="134"/>
      </rPr>
      <t>硬软件维护费及大厅管理改造</t>
    </r>
    <r>
      <rPr>
        <sz val="10"/>
        <rFont val="Times New Roman"/>
        <charset val="0"/>
      </rPr>
      <t>40</t>
    </r>
    <r>
      <rPr>
        <sz val="10"/>
        <rFont val="宋体"/>
        <charset val="134"/>
      </rPr>
      <t>万元，免费邮递及公章</t>
    </r>
    <r>
      <rPr>
        <sz val="10"/>
        <rFont val="Times New Roman"/>
        <charset val="0"/>
      </rPr>
      <t>37</t>
    </r>
    <r>
      <rPr>
        <sz val="10"/>
        <rFont val="宋体"/>
        <charset val="134"/>
      </rPr>
      <t>万元，终端机软件开发</t>
    </r>
    <r>
      <rPr>
        <sz val="10"/>
        <rFont val="Times New Roman"/>
        <charset val="0"/>
      </rPr>
      <t>60</t>
    </r>
    <r>
      <rPr>
        <sz val="10"/>
        <rFont val="宋体"/>
        <charset val="134"/>
      </rPr>
      <t>万元。</t>
    </r>
  </si>
  <si>
    <t>政府投资项目综合服务管理平台开发经费</t>
  </si>
  <si>
    <t>综合统计工作专项</t>
  </si>
  <si>
    <t>含入户调查、劳动力调查、联网直报、基层统计设备维护、小升规经费。</t>
  </si>
  <si>
    <t>人口普查专项</t>
  </si>
  <si>
    <t>财政信息化建设经费</t>
  </si>
  <si>
    <t>含电子卖场、政府采购、综合治税及电子财政系统建设维护。</t>
  </si>
  <si>
    <t>税务经费</t>
  </si>
  <si>
    <t>217</t>
  </si>
  <si>
    <t>02</t>
  </si>
  <si>
    <t>人民银行及银保监会代理业务经费</t>
  </si>
  <si>
    <t>投资审计中心评审经费</t>
  </si>
  <si>
    <t>含雇员、购买服务经费，据实核拨。</t>
  </si>
  <si>
    <t>公共法律服务工作经费</t>
  </si>
  <si>
    <r>
      <rPr>
        <sz val="10"/>
        <rFont val="宋体"/>
        <charset val="134"/>
      </rPr>
      <t>含社区矫正、法律援助、法治宣传、人民调解60万元，民间金融中心法律援助10万元，法律顾问及行政执法复议经费</t>
    </r>
    <r>
      <rPr>
        <sz val="10"/>
        <rFont val="Times New Roman"/>
        <charset val="134"/>
      </rPr>
      <t>15</t>
    </r>
    <r>
      <rPr>
        <sz val="10"/>
        <rFont val="宋体"/>
        <charset val="134"/>
      </rPr>
      <t>万元。</t>
    </r>
  </si>
  <si>
    <t>处非和金融监管专项</t>
  </si>
  <si>
    <t>205</t>
  </si>
  <si>
    <t>教育发展经费</t>
  </si>
  <si>
    <r>
      <rPr>
        <sz val="10"/>
        <rFont val="宋体"/>
        <charset val="0"/>
      </rPr>
      <t>督导督学</t>
    </r>
    <r>
      <rPr>
        <sz val="10"/>
        <rFont val="Times New Roman"/>
        <charset val="0"/>
      </rPr>
      <t>16</t>
    </r>
    <r>
      <rPr>
        <sz val="10"/>
        <rFont val="宋体"/>
        <charset val="0"/>
      </rPr>
      <t>万元、培训费</t>
    </r>
    <r>
      <rPr>
        <sz val="10"/>
        <rFont val="Times New Roman"/>
        <charset val="0"/>
      </rPr>
      <t>157</t>
    </r>
    <r>
      <rPr>
        <sz val="10"/>
        <rFont val="宋体"/>
        <charset val="0"/>
      </rPr>
      <t>万元、特级教师、学科带头人津贴专项</t>
    </r>
    <r>
      <rPr>
        <sz val="10"/>
        <rFont val="Times New Roman"/>
        <charset val="0"/>
      </rPr>
      <t>24.35</t>
    </r>
    <r>
      <rPr>
        <sz val="10"/>
        <rFont val="宋体"/>
        <charset val="0"/>
      </rPr>
      <t>万元、运动会</t>
    </r>
    <r>
      <rPr>
        <sz val="10"/>
        <rFont val="Times New Roman"/>
        <charset val="0"/>
      </rPr>
      <t>5</t>
    </r>
    <r>
      <rPr>
        <sz val="10"/>
        <rFont val="宋体"/>
        <charset val="0"/>
      </rPr>
      <t>万元、集中核算管理</t>
    </r>
    <r>
      <rPr>
        <sz val="10"/>
        <rFont val="Times New Roman"/>
        <charset val="0"/>
      </rPr>
      <t>5</t>
    </r>
    <r>
      <rPr>
        <sz val="10"/>
        <rFont val="宋体"/>
        <charset val="0"/>
      </rPr>
      <t>万元、教师体检</t>
    </r>
    <r>
      <rPr>
        <sz val="10"/>
        <rFont val="Times New Roman"/>
        <charset val="0"/>
      </rPr>
      <t>150.3</t>
    </r>
    <r>
      <rPr>
        <sz val="10"/>
        <rFont val="宋体"/>
        <charset val="0"/>
      </rPr>
      <t>万元、教师午餐</t>
    </r>
    <r>
      <rPr>
        <sz val="10"/>
        <rFont val="Times New Roman"/>
        <charset val="0"/>
      </rPr>
      <t>326.91</t>
    </r>
    <r>
      <rPr>
        <sz val="10"/>
        <rFont val="宋体"/>
        <charset val="0"/>
      </rPr>
      <t>万元、代课教师</t>
    </r>
    <r>
      <rPr>
        <sz val="10"/>
        <rFont val="Times New Roman"/>
        <charset val="0"/>
      </rPr>
      <t>482.5</t>
    </r>
    <r>
      <rPr>
        <sz val="10"/>
        <rFont val="宋体"/>
        <charset val="0"/>
      </rPr>
      <t>万元、教师节</t>
    </r>
    <r>
      <rPr>
        <sz val="10"/>
        <rFont val="Times New Roman"/>
        <charset val="0"/>
      </rPr>
      <t>66</t>
    </r>
    <r>
      <rPr>
        <sz val="10"/>
        <rFont val="宋体"/>
        <charset val="0"/>
      </rPr>
      <t>万元、教师招聘</t>
    </r>
    <r>
      <rPr>
        <sz val="10"/>
        <rFont val="Times New Roman"/>
        <charset val="0"/>
      </rPr>
      <t>40</t>
    </r>
    <r>
      <rPr>
        <sz val="10"/>
        <rFont val="宋体"/>
        <charset val="0"/>
      </rPr>
      <t>万元、食品安全</t>
    </r>
    <r>
      <rPr>
        <sz val="10"/>
        <rFont val="Times New Roman"/>
        <charset val="0"/>
      </rPr>
      <t>10</t>
    </r>
    <r>
      <rPr>
        <sz val="10"/>
        <rFont val="宋体"/>
        <charset val="0"/>
      </rPr>
      <t>万元、校方责任险</t>
    </r>
    <r>
      <rPr>
        <sz val="10"/>
        <rFont val="Times New Roman"/>
        <charset val="0"/>
      </rPr>
      <t>33.34</t>
    </r>
    <r>
      <rPr>
        <sz val="10"/>
        <rFont val="宋体"/>
        <charset val="0"/>
      </rPr>
      <t>万元、信息化</t>
    </r>
    <r>
      <rPr>
        <sz val="10"/>
        <rFont val="Times New Roman"/>
        <charset val="0"/>
      </rPr>
      <t>200</t>
    </r>
    <r>
      <rPr>
        <sz val="10"/>
        <rFont val="宋体"/>
        <charset val="0"/>
      </rPr>
      <t>万元（含一键式警铃）、社区教育</t>
    </r>
    <r>
      <rPr>
        <sz val="10"/>
        <rFont val="Times New Roman"/>
        <charset val="0"/>
      </rPr>
      <t>18</t>
    </r>
    <r>
      <rPr>
        <sz val="10"/>
        <rFont val="宋体"/>
        <charset val="0"/>
      </rPr>
      <t>万元、职业教育</t>
    </r>
    <r>
      <rPr>
        <sz val="10"/>
        <rFont val="Times New Roman"/>
        <charset val="0"/>
      </rPr>
      <t>17</t>
    </r>
    <r>
      <rPr>
        <sz val="10"/>
        <rFont val="宋体"/>
        <charset val="0"/>
      </rPr>
      <t>万元、教育共同体</t>
    </r>
    <r>
      <rPr>
        <sz val="10"/>
        <rFont val="Times New Roman"/>
        <charset val="0"/>
      </rPr>
      <t>12</t>
    </r>
    <r>
      <rPr>
        <sz val="10"/>
        <rFont val="宋体"/>
        <charset val="0"/>
      </rPr>
      <t>万元，家文化5万元。</t>
    </r>
  </si>
  <si>
    <t>学校安全经费</t>
  </si>
  <si>
    <r>
      <rPr>
        <sz val="10"/>
        <rFont val="宋体"/>
        <charset val="134"/>
      </rPr>
      <t>校园保安</t>
    </r>
    <r>
      <rPr>
        <sz val="10"/>
        <rFont val="Times New Roman"/>
        <charset val="134"/>
      </rPr>
      <t>130</t>
    </r>
    <r>
      <rPr>
        <sz val="10"/>
        <rFont val="宋体"/>
        <charset val="134"/>
      </rPr>
      <t>人，</t>
    </r>
    <r>
      <rPr>
        <sz val="10"/>
        <rFont val="Times New Roman"/>
        <charset val="134"/>
      </rPr>
      <t>3.5</t>
    </r>
    <r>
      <rPr>
        <sz val="10"/>
        <rFont val="宋体"/>
        <charset val="134"/>
      </rPr>
      <t>万元</t>
    </r>
    <r>
      <rPr>
        <sz val="10"/>
        <rFont val="Times New Roman"/>
        <charset val="134"/>
      </rPr>
      <t>/</t>
    </r>
    <r>
      <rPr>
        <sz val="10"/>
        <rFont val="宋体"/>
        <charset val="134"/>
      </rPr>
      <t>人</t>
    </r>
    <r>
      <rPr>
        <sz val="10"/>
        <rFont val="Times New Roman"/>
        <charset val="134"/>
      </rPr>
      <t>.</t>
    </r>
    <r>
      <rPr>
        <sz val="10"/>
        <rFont val="宋体"/>
        <charset val="134"/>
      </rPr>
      <t>年，</t>
    </r>
    <r>
      <rPr>
        <sz val="10"/>
        <rFont val="Times New Roman"/>
        <charset val="134"/>
      </rPr>
      <t>553.5</t>
    </r>
    <r>
      <rPr>
        <sz val="10"/>
        <rFont val="宋体"/>
        <charset val="134"/>
      </rPr>
      <t>万元（含</t>
    </r>
    <r>
      <rPr>
        <sz val="10"/>
        <rFont val="Times New Roman"/>
        <charset val="134"/>
      </rPr>
      <t>2020</t>
    </r>
    <r>
      <rPr>
        <sz val="10"/>
        <rFont val="宋体"/>
        <charset val="134"/>
      </rPr>
      <t>年下半年）；校车</t>
    </r>
    <r>
      <rPr>
        <sz val="10"/>
        <rFont val="Times New Roman"/>
        <charset val="134"/>
      </rPr>
      <t>92</t>
    </r>
    <r>
      <rPr>
        <sz val="10"/>
        <rFont val="宋体"/>
        <charset val="134"/>
      </rPr>
      <t>万元（含</t>
    </r>
    <r>
      <rPr>
        <sz val="10"/>
        <rFont val="Times New Roman"/>
        <charset val="134"/>
      </rPr>
      <t>2020</t>
    </r>
    <r>
      <rPr>
        <sz val="10"/>
        <rFont val="宋体"/>
        <charset val="134"/>
      </rPr>
      <t>年下半年）；校园综治</t>
    </r>
    <r>
      <rPr>
        <sz val="10"/>
        <rFont val="Times New Roman"/>
        <charset val="134"/>
      </rPr>
      <t>4</t>
    </r>
    <r>
      <rPr>
        <sz val="10"/>
        <rFont val="宋体"/>
        <charset val="134"/>
      </rPr>
      <t>万元。</t>
    </r>
  </si>
  <si>
    <t>城乡义务教育经费</t>
  </si>
  <si>
    <r>
      <rPr>
        <sz val="10"/>
        <rFont val="宋体"/>
        <charset val="134"/>
      </rPr>
      <t>小学</t>
    </r>
    <r>
      <rPr>
        <sz val="10"/>
        <rFont val="Times New Roman"/>
        <charset val="134"/>
      </rPr>
      <t>650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年、中学每年</t>
    </r>
    <r>
      <rPr>
        <sz val="10"/>
        <rFont val="Times New Roman"/>
        <charset val="134"/>
      </rPr>
      <t>850</t>
    </r>
    <r>
      <rPr>
        <sz val="10"/>
        <rFont val="宋体"/>
        <charset val="134"/>
      </rPr>
      <t>元</t>
    </r>
    <r>
      <rPr>
        <sz val="10"/>
        <rFont val="Times New Roman"/>
        <charset val="134"/>
      </rPr>
      <t>/</t>
    </r>
    <r>
      <rPr>
        <sz val="10"/>
        <rFont val="宋体"/>
        <charset val="134"/>
      </rPr>
      <t>人</t>
    </r>
    <r>
      <rPr>
        <sz val="10"/>
        <rFont val="Times New Roman"/>
        <charset val="134"/>
      </rPr>
      <t>.</t>
    </r>
    <r>
      <rPr>
        <sz val="10"/>
        <rFont val="宋体"/>
        <charset val="134"/>
      </rPr>
      <t>年。据实核拨。</t>
    </r>
  </si>
  <si>
    <t>农村教育经费</t>
  </si>
  <si>
    <r>
      <rPr>
        <sz val="10"/>
        <rFont val="宋体"/>
        <charset val="134"/>
      </rPr>
      <t>乡村班主任津贴</t>
    </r>
    <r>
      <rPr>
        <sz val="10"/>
        <rFont val="Times New Roman"/>
        <charset val="134"/>
      </rPr>
      <t>12.48</t>
    </r>
    <r>
      <rPr>
        <sz val="10"/>
        <rFont val="宋体"/>
        <charset val="134"/>
      </rPr>
      <t>万元，</t>
    </r>
    <r>
      <rPr>
        <sz val="10"/>
        <rFont val="Times New Roman"/>
        <charset val="134"/>
      </rPr>
      <t>“</t>
    </r>
    <r>
      <rPr>
        <sz val="10"/>
        <rFont val="宋体"/>
        <charset val="134"/>
      </rPr>
      <t>三区</t>
    </r>
    <r>
      <rPr>
        <sz val="10"/>
        <rFont val="Times New Roman"/>
        <charset val="134"/>
      </rPr>
      <t>”</t>
    </r>
    <r>
      <rPr>
        <sz val="10"/>
        <rFont val="宋体"/>
        <charset val="134"/>
      </rPr>
      <t>支教</t>
    </r>
    <r>
      <rPr>
        <sz val="10"/>
        <rFont val="Times New Roman"/>
        <charset val="134"/>
      </rPr>
      <t>26.4</t>
    </r>
    <r>
      <rPr>
        <sz val="10"/>
        <rFont val="宋体"/>
        <charset val="134"/>
      </rPr>
      <t>万元，援藏教师</t>
    </r>
    <r>
      <rPr>
        <sz val="10"/>
        <rFont val="Times New Roman"/>
        <charset val="134"/>
      </rPr>
      <t>21.6</t>
    </r>
    <r>
      <rPr>
        <sz val="10"/>
        <rFont val="宋体"/>
        <charset val="134"/>
      </rPr>
      <t>万元，特困学生救助</t>
    </r>
    <r>
      <rPr>
        <sz val="10"/>
        <rFont val="Times New Roman"/>
        <charset val="134"/>
      </rPr>
      <t>15</t>
    </r>
    <r>
      <rPr>
        <sz val="10"/>
        <rFont val="宋体"/>
        <charset val="134"/>
      </rPr>
      <t>万元。据实核拨。</t>
    </r>
  </si>
  <si>
    <t>学前教育发展经费</t>
  </si>
  <si>
    <r>
      <rPr>
        <sz val="10"/>
        <rFont val="宋体"/>
        <charset val="134"/>
      </rPr>
      <t>普惠性民办园园位补贴</t>
    </r>
    <r>
      <rPr>
        <sz val="10"/>
        <rFont val="Times New Roman"/>
        <charset val="134"/>
      </rPr>
      <t>240.35</t>
    </r>
    <r>
      <rPr>
        <sz val="10"/>
        <rFont val="宋体"/>
        <charset val="134"/>
      </rPr>
      <t>万元，幼儿园生均公用经费</t>
    </r>
    <r>
      <rPr>
        <sz val="10"/>
        <rFont val="Times New Roman"/>
        <charset val="134"/>
      </rPr>
      <t>187.39</t>
    </r>
    <r>
      <rPr>
        <sz val="10"/>
        <rFont val="宋体"/>
        <charset val="134"/>
      </rPr>
      <t>万元，合作公办园奖补资金</t>
    </r>
    <r>
      <rPr>
        <sz val="10"/>
        <rFont val="Times New Roman"/>
        <charset val="134"/>
      </rPr>
      <t>398</t>
    </r>
    <r>
      <rPr>
        <sz val="10"/>
        <rFont val="宋体"/>
        <charset val="134"/>
      </rPr>
      <t>万元，学前教育</t>
    </r>
    <r>
      <rPr>
        <sz val="10"/>
        <rFont val="Times New Roman"/>
        <charset val="134"/>
      </rPr>
      <t>5</t>
    </r>
    <r>
      <rPr>
        <sz val="10"/>
        <rFont val="宋体"/>
        <charset val="134"/>
      </rPr>
      <t>万元。据实核拨。</t>
    </r>
  </si>
  <si>
    <t>枫溪学校建设</t>
  </si>
  <si>
    <t>上年结转一般债券安排937万元。</t>
  </si>
  <si>
    <t>科普经费</t>
  </si>
  <si>
    <r>
      <rPr>
        <sz val="10"/>
        <rFont val="宋体"/>
        <charset val="134"/>
      </rPr>
      <t>含老年科协</t>
    </r>
    <r>
      <rPr>
        <sz val="10"/>
        <rFont val="Times New Roman"/>
        <charset val="0"/>
      </rPr>
      <t>3</t>
    </r>
    <r>
      <rPr>
        <sz val="10"/>
        <rFont val="宋体"/>
        <charset val="134"/>
      </rPr>
      <t>万</t>
    </r>
  </si>
  <si>
    <t>科技专家服务经费</t>
  </si>
  <si>
    <t>207</t>
  </si>
  <si>
    <t>文体旅专项</t>
  </si>
  <si>
    <t>含全民建身、农村文化、群众文化、旅游创建经费。</t>
  </si>
  <si>
    <r>
      <rPr>
        <sz val="10"/>
        <rFont val="宋体"/>
        <charset val="134"/>
      </rPr>
      <t>国家</t>
    </r>
    <r>
      <rPr>
        <sz val="10"/>
        <rFont val="Times New Roman"/>
        <charset val="134"/>
      </rPr>
      <t>3A</t>
    </r>
    <r>
      <rPr>
        <sz val="10"/>
        <rFont val="宋体"/>
        <charset val="134"/>
      </rPr>
      <t>级景区复核经费</t>
    </r>
  </si>
  <si>
    <t>224</t>
  </si>
  <si>
    <t>自然灾害综合风险普查</t>
  </si>
  <si>
    <t>安全监管应急管理专项</t>
  </si>
  <si>
    <t>含安全生产监管、基础建设、专项整治三年行动经费和应急管理经费。</t>
  </si>
  <si>
    <t>信访维稳专项经费</t>
  </si>
  <si>
    <t>信访救助</t>
  </si>
  <si>
    <t>38</t>
  </si>
  <si>
    <t>市场监管专项</t>
  </si>
  <si>
    <t>16</t>
  </si>
  <si>
    <t>食品药品安全专项</t>
  </si>
  <si>
    <t>208</t>
  </si>
  <si>
    <t>09</t>
  </si>
  <si>
    <r>
      <rPr>
        <sz val="10"/>
        <rFont val="宋体"/>
        <charset val="134"/>
      </rPr>
      <t>社保基金同级财政补助</t>
    </r>
    <r>
      <rPr>
        <sz val="10"/>
        <rFont val="Times New Roman"/>
        <charset val="134"/>
      </rPr>
      <t>-</t>
    </r>
    <r>
      <rPr>
        <sz val="10"/>
        <rFont val="宋体"/>
        <charset val="134"/>
      </rPr>
      <t>企业养老保险区级财政补助</t>
    </r>
  </si>
  <si>
    <r>
      <rPr>
        <sz val="10"/>
        <rFont val="宋体"/>
        <charset val="134"/>
      </rPr>
      <t>其中军转干部补贴</t>
    </r>
    <r>
      <rPr>
        <sz val="10"/>
        <rFont val="Times New Roman"/>
        <charset val="134"/>
      </rPr>
      <t>15.29</t>
    </r>
    <r>
      <rPr>
        <sz val="10"/>
        <rFont val="宋体"/>
        <charset val="134"/>
      </rPr>
      <t>万元。</t>
    </r>
  </si>
  <si>
    <r>
      <rPr>
        <sz val="10"/>
        <rFont val="宋体"/>
        <charset val="134"/>
      </rPr>
      <t>社保基金同级财政补助</t>
    </r>
    <r>
      <rPr>
        <sz val="10"/>
        <rFont val="Times New Roman"/>
        <charset val="134"/>
      </rPr>
      <t>-</t>
    </r>
    <r>
      <rPr>
        <sz val="10"/>
        <rFont val="宋体"/>
        <charset val="134"/>
      </rPr>
      <t>城乡居保区级补助</t>
    </r>
  </si>
  <si>
    <r>
      <rPr>
        <sz val="10"/>
        <rFont val="宋体"/>
        <charset val="134"/>
      </rPr>
      <t>养老金补助</t>
    </r>
    <r>
      <rPr>
        <sz val="10"/>
        <rFont val="Times New Roman"/>
        <charset val="134"/>
      </rPr>
      <t>52</t>
    </r>
    <r>
      <rPr>
        <sz val="10"/>
        <rFont val="宋体"/>
        <charset val="134"/>
      </rPr>
      <t>万元，缴费补助</t>
    </r>
    <r>
      <rPr>
        <sz val="10"/>
        <rFont val="Times New Roman"/>
        <charset val="134"/>
      </rPr>
      <t>30</t>
    </r>
    <r>
      <rPr>
        <sz val="10"/>
        <rFont val="宋体"/>
        <charset val="134"/>
      </rPr>
      <t>万元</t>
    </r>
  </si>
  <si>
    <t>28</t>
  </si>
  <si>
    <t>春节、八一慰问经费</t>
  </si>
  <si>
    <r>
      <rPr>
        <sz val="10"/>
        <rFont val="宋体"/>
        <charset val="134"/>
      </rPr>
      <t>春节慰问</t>
    </r>
    <r>
      <rPr>
        <sz val="10"/>
        <rFont val="Times New Roman"/>
        <charset val="134"/>
      </rPr>
      <t>20</t>
    </r>
    <r>
      <rPr>
        <sz val="10"/>
        <rFont val="宋体"/>
        <charset val="134"/>
      </rPr>
      <t>万元，八一慰问</t>
    </r>
    <r>
      <rPr>
        <sz val="10"/>
        <rFont val="Times New Roman"/>
        <charset val="134"/>
      </rPr>
      <t>15</t>
    </r>
    <r>
      <rPr>
        <sz val="10"/>
        <rFont val="宋体"/>
        <charset val="134"/>
      </rPr>
      <t>万元。</t>
    </r>
  </si>
  <si>
    <t>退役军人服务安置经费</t>
  </si>
  <si>
    <r>
      <rPr>
        <sz val="10"/>
        <rFont val="宋体"/>
        <charset val="134"/>
      </rPr>
      <t>津补贴、生活补贴、医保待遇</t>
    </r>
    <r>
      <rPr>
        <sz val="10"/>
        <rFont val="Times New Roman"/>
        <charset val="134"/>
      </rPr>
      <t>67.32</t>
    </r>
    <r>
      <rPr>
        <sz val="10"/>
        <rFont val="宋体"/>
        <charset val="134"/>
      </rPr>
      <t>万元，无军籍退休职工服务6.1万元，退役士官资助就业补助金</t>
    </r>
    <r>
      <rPr>
        <sz val="10"/>
        <rFont val="Times New Roman"/>
        <charset val="134"/>
      </rPr>
      <t>120</t>
    </r>
    <r>
      <rPr>
        <sz val="10"/>
        <rFont val="宋体"/>
        <charset val="134"/>
      </rPr>
      <t>万。市区各50%。</t>
    </r>
  </si>
  <si>
    <t>兵员征集一次性奖金</t>
  </si>
  <si>
    <r>
      <rPr>
        <sz val="10"/>
        <rFont val="宋体"/>
        <charset val="134"/>
      </rPr>
      <t>入伍大学应届生</t>
    </r>
    <r>
      <rPr>
        <sz val="10"/>
        <rFont val="Times New Roman"/>
        <charset val="134"/>
      </rPr>
      <t>40</t>
    </r>
    <r>
      <rPr>
        <sz val="10"/>
        <rFont val="宋体"/>
        <charset val="134"/>
      </rPr>
      <t>人，</t>
    </r>
    <r>
      <rPr>
        <sz val="10"/>
        <rFont val="Times New Roman"/>
        <charset val="134"/>
      </rPr>
      <t>8000</t>
    </r>
    <r>
      <rPr>
        <sz val="10"/>
        <rFont val="宋体"/>
        <charset val="134"/>
      </rPr>
      <t>元</t>
    </r>
    <r>
      <rPr>
        <sz val="10"/>
        <rFont val="Times New Roman"/>
        <charset val="134"/>
      </rPr>
      <t>/</t>
    </r>
    <r>
      <rPr>
        <sz val="10"/>
        <rFont val="宋体"/>
        <charset val="134"/>
      </rPr>
      <t>人，入伍在校生和大学新生</t>
    </r>
    <r>
      <rPr>
        <sz val="10"/>
        <rFont val="Times New Roman"/>
        <charset val="134"/>
      </rPr>
      <t>33</t>
    </r>
    <r>
      <rPr>
        <sz val="10"/>
        <rFont val="宋体"/>
        <charset val="134"/>
      </rPr>
      <t>人，</t>
    </r>
    <r>
      <rPr>
        <sz val="10"/>
        <rFont val="Times New Roman"/>
        <charset val="134"/>
      </rPr>
      <t>6000</t>
    </r>
    <r>
      <rPr>
        <sz val="10"/>
        <rFont val="宋体"/>
        <charset val="134"/>
      </rPr>
      <t>元</t>
    </r>
    <r>
      <rPr>
        <sz val="10"/>
        <rFont val="Times New Roman"/>
        <charset val="134"/>
      </rPr>
      <t>/</t>
    </r>
    <r>
      <rPr>
        <sz val="10"/>
        <rFont val="宋体"/>
        <charset val="134"/>
      </rPr>
      <t>人，共</t>
    </r>
    <r>
      <rPr>
        <sz val="10"/>
        <rFont val="Times New Roman"/>
        <charset val="134"/>
      </rPr>
      <t>51.8</t>
    </r>
    <r>
      <rPr>
        <sz val="10"/>
        <rFont val="宋体"/>
        <charset val="134"/>
      </rPr>
      <t>万元。市区各</t>
    </r>
    <r>
      <rPr>
        <sz val="10"/>
        <rFont val="Times New Roman"/>
        <charset val="134"/>
      </rPr>
      <t>50%</t>
    </r>
    <r>
      <rPr>
        <sz val="10"/>
        <rFont val="宋体"/>
        <charset val="134"/>
      </rPr>
      <t>。</t>
    </r>
  </si>
  <si>
    <t>重点优抚对象定期补助</t>
  </si>
  <si>
    <r>
      <rPr>
        <sz val="10"/>
        <rFont val="宋体"/>
        <charset val="134"/>
      </rPr>
      <t>死亡抚恤</t>
    </r>
    <r>
      <rPr>
        <sz val="10"/>
        <rFont val="Times New Roman"/>
        <charset val="134"/>
      </rPr>
      <t>12.26</t>
    </r>
    <r>
      <rPr>
        <sz val="10"/>
        <rFont val="宋体"/>
        <charset val="134"/>
      </rPr>
      <t>万；伤残军人护理费</t>
    </r>
    <r>
      <rPr>
        <sz val="10"/>
        <rFont val="Times New Roman"/>
        <charset val="134"/>
      </rPr>
      <t>11.79</t>
    </r>
    <r>
      <rPr>
        <sz val="10"/>
        <rFont val="宋体"/>
        <charset val="134"/>
      </rPr>
      <t>万元；资助优抚对象医保</t>
    </r>
    <r>
      <rPr>
        <sz val="10"/>
        <rFont val="Times New Roman"/>
        <charset val="134"/>
      </rPr>
      <t>16.8</t>
    </r>
    <r>
      <rPr>
        <sz val="10"/>
        <rFont val="宋体"/>
        <charset val="134"/>
      </rPr>
      <t>万；义务兵优待金</t>
    </r>
    <r>
      <rPr>
        <sz val="10"/>
        <rFont val="Times New Roman"/>
        <charset val="134"/>
      </rPr>
      <t>115</t>
    </r>
    <r>
      <rPr>
        <sz val="10"/>
        <rFont val="宋体"/>
        <charset val="134"/>
      </rPr>
      <t>万；义务兵立功受奖奖励金约</t>
    </r>
    <r>
      <rPr>
        <sz val="10"/>
        <rFont val="Times New Roman"/>
        <charset val="134"/>
      </rPr>
      <t>3</t>
    </r>
    <r>
      <rPr>
        <sz val="10"/>
        <rFont val="宋体"/>
        <charset val="134"/>
      </rPr>
      <t>万；地方优抚对象医保医疗补助</t>
    </r>
    <r>
      <rPr>
        <sz val="10"/>
        <rFont val="Times New Roman"/>
        <charset val="134"/>
      </rPr>
      <t>237.5</t>
    </r>
    <r>
      <rPr>
        <sz val="10"/>
        <rFont val="宋体"/>
        <charset val="134"/>
      </rPr>
      <t>万；带病回乡补助</t>
    </r>
    <r>
      <rPr>
        <sz val="10"/>
        <rFont val="Times New Roman"/>
        <charset val="134"/>
      </rPr>
      <t>14.04</t>
    </r>
    <r>
      <rPr>
        <sz val="10"/>
        <rFont val="宋体"/>
        <charset val="134"/>
      </rPr>
      <t>万元。</t>
    </r>
  </si>
  <si>
    <t>退役军人信访维稳及接访场所改造经费</t>
  </si>
  <si>
    <t>含信访岗位津贴。其中接访场所改造8万元。</t>
  </si>
  <si>
    <t>涉军群体公益性岗位专项</t>
  </si>
  <si>
    <t>残疾人事业专项</t>
  </si>
  <si>
    <r>
      <rPr>
        <sz val="10"/>
        <rFont val="宋体"/>
        <charset val="0"/>
      </rPr>
      <t>残疾人康复</t>
    </r>
    <r>
      <rPr>
        <sz val="10"/>
        <rFont val="Times New Roman"/>
        <charset val="0"/>
      </rPr>
      <t>35</t>
    </r>
    <r>
      <rPr>
        <sz val="10"/>
        <rFont val="宋体"/>
        <charset val="0"/>
      </rPr>
      <t>万元，残疾人就业教育扶贫</t>
    </r>
    <r>
      <rPr>
        <sz val="10"/>
        <rFont val="Times New Roman"/>
        <charset val="0"/>
      </rPr>
      <t>75</t>
    </r>
    <r>
      <rPr>
        <sz val="10"/>
        <rFont val="宋体"/>
        <charset val="0"/>
      </rPr>
      <t>万元，残疾人专职委员及宣传87万元，无障碍进家庭改造25户共2.5万元，残疾人临时救助、信访维稳工作0.5万元。</t>
    </r>
  </si>
  <si>
    <t>10</t>
  </si>
  <si>
    <t>高龄补贴</t>
  </si>
  <si>
    <r>
      <rPr>
        <sz val="10"/>
        <rFont val="Times New Roman"/>
        <charset val="0"/>
      </rPr>
      <t>80-89</t>
    </r>
    <r>
      <rPr>
        <sz val="10"/>
        <rFont val="宋体"/>
        <charset val="134"/>
      </rPr>
      <t>岁</t>
    </r>
    <r>
      <rPr>
        <sz val="10"/>
        <rFont val="Times New Roman"/>
        <charset val="0"/>
      </rPr>
      <t>8400</t>
    </r>
    <r>
      <rPr>
        <sz val="10"/>
        <rFont val="宋体"/>
        <charset val="134"/>
      </rPr>
      <t>人，</t>
    </r>
    <r>
      <rPr>
        <sz val="10"/>
        <rFont val="Times New Roman"/>
        <charset val="0"/>
      </rPr>
      <t>50</t>
    </r>
    <r>
      <rPr>
        <sz val="10"/>
        <rFont val="宋体"/>
        <charset val="134"/>
      </rPr>
      <t>元</t>
    </r>
    <r>
      <rPr>
        <sz val="10"/>
        <rFont val="Times New Roman"/>
        <charset val="0"/>
      </rPr>
      <t>/</t>
    </r>
    <r>
      <rPr>
        <sz val="10"/>
        <rFont val="宋体"/>
        <charset val="134"/>
      </rPr>
      <t>月，</t>
    </r>
    <r>
      <rPr>
        <sz val="10"/>
        <rFont val="Times New Roman"/>
        <charset val="0"/>
      </rPr>
      <t>504</t>
    </r>
    <r>
      <rPr>
        <sz val="10"/>
        <rFont val="宋体"/>
        <charset val="134"/>
      </rPr>
      <t>万元；</t>
    </r>
    <r>
      <rPr>
        <sz val="10"/>
        <rFont val="Times New Roman"/>
        <charset val="0"/>
      </rPr>
      <t>90-99</t>
    </r>
    <r>
      <rPr>
        <sz val="10"/>
        <rFont val="宋体"/>
        <charset val="134"/>
      </rPr>
      <t>岁</t>
    </r>
    <r>
      <rPr>
        <sz val="10"/>
        <rFont val="Times New Roman"/>
        <charset val="0"/>
      </rPr>
      <t>800</t>
    </r>
    <r>
      <rPr>
        <sz val="10"/>
        <rFont val="宋体"/>
        <charset val="134"/>
      </rPr>
      <t>人，</t>
    </r>
    <r>
      <rPr>
        <sz val="10"/>
        <rFont val="Times New Roman"/>
        <charset val="0"/>
      </rPr>
      <t>100</t>
    </r>
    <r>
      <rPr>
        <sz val="10"/>
        <rFont val="宋体"/>
        <charset val="134"/>
      </rPr>
      <t>元</t>
    </r>
    <r>
      <rPr>
        <sz val="10"/>
        <rFont val="Times New Roman"/>
        <charset val="0"/>
      </rPr>
      <t>/</t>
    </r>
    <r>
      <rPr>
        <sz val="10"/>
        <rFont val="宋体"/>
        <charset val="134"/>
      </rPr>
      <t>月，</t>
    </r>
    <r>
      <rPr>
        <sz val="10"/>
        <rFont val="Times New Roman"/>
        <charset val="0"/>
      </rPr>
      <t>96</t>
    </r>
    <r>
      <rPr>
        <sz val="10"/>
        <rFont val="宋体"/>
        <charset val="134"/>
      </rPr>
      <t>万元；</t>
    </r>
    <r>
      <rPr>
        <sz val="10"/>
        <rFont val="Times New Roman"/>
        <charset val="0"/>
      </rPr>
      <t>100</t>
    </r>
    <r>
      <rPr>
        <sz val="10"/>
        <rFont val="宋体"/>
        <charset val="134"/>
      </rPr>
      <t>岁</t>
    </r>
    <r>
      <rPr>
        <sz val="10"/>
        <rFont val="Times New Roman"/>
        <charset val="0"/>
      </rPr>
      <t>8</t>
    </r>
    <r>
      <rPr>
        <sz val="10"/>
        <rFont val="宋体"/>
        <charset val="134"/>
      </rPr>
      <t>人，</t>
    </r>
    <r>
      <rPr>
        <sz val="10"/>
        <rFont val="Times New Roman"/>
        <charset val="0"/>
      </rPr>
      <t>500</t>
    </r>
    <r>
      <rPr>
        <sz val="10"/>
        <rFont val="宋体"/>
        <charset val="134"/>
      </rPr>
      <t>元</t>
    </r>
    <r>
      <rPr>
        <sz val="10"/>
        <rFont val="Times New Roman"/>
        <charset val="0"/>
      </rPr>
      <t>/</t>
    </r>
    <r>
      <rPr>
        <sz val="10"/>
        <rFont val="宋体"/>
        <charset val="134"/>
      </rPr>
      <t>月，</t>
    </r>
    <r>
      <rPr>
        <sz val="10"/>
        <rFont val="Times New Roman"/>
        <charset val="0"/>
      </rPr>
      <t>4.8</t>
    </r>
    <r>
      <rPr>
        <sz val="10"/>
        <rFont val="宋体"/>
        <charset val="134"/>
      </rPr>
      <t>万元。市区各</t>
    </r>
    <r>
      <rPr>
        <sz val="10"/>
        <rFont val="Times New Roman"/>
        <charset val="0"/>
      </rPr>
      <t>50%</t>
    </r>
    <r>
      <rPr>
        <sz val="10"/>
        <rFont val="宋体"/>
        <charset val="134"/>
      </rPr>
      <t>。</t>
    </r>
  </si>
  <si>
    <t>养老机构运营补贴</t>
  </si>
  <si>
    <t>据实核拨</t>
  </si>
  <si>
    <t>养老机构建设补贴</t>
  </si>
  <si>
    <r>
      <rPr>
        <sz val="10"/>
        <rFont val="Times New Roman"/>
        <charset val="0"/>
      </rPr>
      <t>1000</t>
    </r>
    <r>
      <rPr>
        <sz val="10"/>
        <rFont val="宋体"/>
        <charset val="0"/>
      </rPr>
      <t>张床位，</t>
    </r>
    <r>
      <rPr>
        <sz val="10"/>
        <rFont val="Times New Roman"/>
        <charset val="0"/>
      </rPr>
      <t>1</t>
    </r>
    <r>
      <rPr>
        <sz val="10"/>
        <rFont val="宋体"/>
        <charset val="0"/>
      </rPr>
      <t>万元</t>
    </r>
    <r>
      <rPr>
        <sz val="10"/>
        <rFont val="Times New Roman"/>
        <charset val="0"/>
      </rPr>
      <t>/</t>
    </r>
    <r>
      <rPr>
        <sz val="10"/>
        <rFont val="宋体"/>
        <charset val="0"/>
      </rPr>
      <t>张。市区各</t>
    </r>
    <r>
      <rPr>
        <sz val="10"/>
        <rFont val="Times New Roman"/>
        <charset val="0"/>
      </rPr>
      <t>50%</t>
    </r>
    <r>
      <rPr>
        <sz val="10"/>
        <rFont val="宋体"/>
        <charset val="0"/>
      </rPr>
      <t>。据实核拨。</t>
    </r>
  </si>
  <si>
    <t>三社联动项目经费</t>
  </si>
  <si>
    <t>19</t>
  </si>
  <si>
    <t>城乡最低生活保障</t>
  </si>
  <si>
    <r>
      <rPr>
        <sz val="10"/>
        <rFont val="宋体"/>
        <charset val="134"/>
      </rPr>
      <t>城市低保</t>
    </r>
    <r>
      <rPr>
        <sz val="10"/>
        <rFont val="Times New Roman"/>
        <charset val="0"/>
      </rPr>
      <t>3070</t>
    </r>
    <r>
      <rPr>
        <sz val="10"/>
        <rFont val="宋体"/>
        <charset val="134"/>
      </rPr>
      <t>人，</t>
    </r>
    <r>
      <rPr>
        <sz val="10"/>
        <rFont val="Times New Roman"/>
        <charset val="0"/>
      </rPr>
      <t>470</t>
    </r>
    <r>
      <rPr>
        <sz val="10"/>
        <rFont val="宋体"/>
        <charset val="134"/>
      </rPr>
      <t>元</t>
    </r>
    <r>
      <rPr>
        <sz val="10"/>
        <rFont val="Times New Roman"/>
        <charset val="0"/>
      </rPr>
      <t>/</t>
    </r>
    <r>
      <rPr>
        <sz val="10"/>
        <rFont val="宋体"/>
        <charset val="134"/>
      </rPr>
      <t>月，</t>
    </r>
    <r>
      <rPr>
        <sz val="10"/>
        <rFont val="Times New Roman"/>
        <charset val="0"/>
      </rPr>
      <t>1731.48</t>
    </r>
    <r>
      <rPr>
        <sz val="10"/>
        <rFont val="宋体"/>
        <charset val="0"/>
      </rPr>
      <t>万元；农村低保月保障金</t>
    </r>
    <r>
      <rPr>
        <sz val="10"/>
        <rFont val="Times New Roman"/>
        <charset val="0"/>
      </rPr>
      <t>1490</t>
    </r>
    <r>
      <rPr>
        <sz val="10"/>
        <rFont val="宋体"/>
        <charset val="0"/>
      </rPr>
      <t>人，</t>
    </r>
    <r>
      <rPr>
        <sz val="10"/>
        <rFont val="Times New Roman"/>
        <charset val="0"/>
      </rPr>
      <t>315</t>
    </r>
    <r>
      <rPr>
        <sz val="10"/>
        <rFont val="宋体"/>
        <charset val="0"/>
      </rPr>
      <t>元</t>
    </r>
    <r>
      <rPr>
        <sz val="10"/>
        <rFont val="Times New Roman"/>
        <charset val="0"/>
      </rPr>
      <t>/</t>
    </r>
    <r>
      <rPr>
        <sz val="10"/>
        <rFont val="宋体"/>
        <charset val="0"/>
      </rPr>
      <t>月，</t>
    </r>
    <r>
      <rPr>
        <sz val="10"/>
        <rFont val="Times New Roman"/>
        <charset val="0"/>
      </rPr>
      <t>563.22</t>
    </r>
    <r>
      <rPr>
        <sz val="10"/>
        <rFont val="宋体"/>
        <charset val="0"/>
      </rPr>
      <t>万元。</t>
    </r>
  </si>
  <si>
    <t>孤儿基本生活费和事实无人抚养儿童生活补贴</t>
  </si>
  <si>
    <t>民政四级广域网建设经费</t>
  </si>
  <si>
    <t>21</t>
  </si>
  <si>
    <t>城乡特困供养专项</t>
  </si>
  <si>
    <r>
      <rPr>
        <sz val="10"/>
        <rFont val="宋体"/>
        <charset val="134"/>
      </rPr>
      <t>特困供养金</t>
    </r>
    <r>
      <rPr>
        <sz val="10"/>
        <rFont val="Times New Roman"/>
        <charset val="134"/>
      </rPr>
      <t>402</t>
    </r>
    <r>
      <rPr>
        <sz val="10"/>
        <rFont val="宋体"/>
        <charset val="134"/>
      </rPr>
      <t>人，</t>
    </r>
    <r>
      <rPr>
        <sz val="10"/>
        <rFont val="Times New Roman"/>
        <charset val="134"/>
      </rPr>
      <t>9360</t>
    </r>
    <r>
      <rPr>
        <sz val="10"/>
        <rFont val="宋体"/>
        <charset val="134"/>
      </rPr>
      <t>元</t>
    </r>
    <r>
      <rPr>
        <sz val="10"/>
        <rFont val="Times New Roman"/>
        <charset val="134"/>
      </rPr>
      <t>/</t>
    </r>
    <r>
      <rPr>
        <sz val="10"/>
        <rFont val="宋体"/>
        <charset val="134"/>
      </rPr>
      <t>年，</t>
    </r>
    <r>
      <rPr>
        <sz val="10"/>
        <rFont val="Times New Roman"/>
        <charset val="134"/>
      </rPr>
      <t>376</t>
    </r>
    <r>
      <rPr>
        <sz val="10"/>
        <rFont val="宋体"/>
        <charset val="134"/>
      </rPr>
      <t>万元。市区各</t>
    </r>
    <r>
      <rPr>
        <sz val="10"/>
        <rFont val="Times New Roman"/>
        <charset val="134"/>
      </rPr>
      <t>50%</t>
    </r>
    <r>
      <rPr>
        <sz val="10"/>
        <rFont val="宋体"/>
        <charset val="134"/>
      </rPr>
      <t>。据实核拨。</t>
    </r>
  </si>
  <si>
    <t>行政区域界线管理经费</t>
  </si>
  <si>
    <t>基本养老服务补贴</t>
  </si>
  <si>
    <r>
      <rPr>
        <sz val="10"/>
        <rFont val="宋体"/>
        <charset val="134"/>
      </rPr>
      <t>失能老人</t>
    </r>
    <r>
      <rPr>
        <sz val="10"/>
        <rFont val="Times New Roman"/>
        <charset val="134"/>
      </rPr>
      <t>33</t>
    </r>
    <r>
      <rPr>
        <sz val="10"/>
        <rFont val="宋体"/>
        <charset val="134"/>
      </rPr>
      <t>人，</t>
    </r>
    <r>
      <rPr>
        <sz val="10"/>
        <rFont val="Times New Roman"/>
        <charset val="134"/>
      </rPr>
      <t>400</t>
    </r>
    <r>
      <rPr>
        <sz val="10"/>
        <rFont val="宋体"/>
        <charset val="134"/>
      </rPr>
      <t>元</t>
    </r>
    <r>
      <rPr>
        <sz val="10"/>
        <rFont val="Times New Roman"/>
        <charset val="134"/>
      </rPr>
      <t>/</t>
    </r>
    <r>
      <rPr>
        <sz val="10"/>
        <rFont val="宋体"/>
        <charset val="134"/>
      </rPr>
      <t>月，</t>
    </r>
    <r>
      <rPr>
        <sz val="10"/>
        <rFont val="Times New Roman"/>
        <charset val="134"/>
      </rPr>
      <t>15.84</t>
    </r>
    <r>
      <rPr>
        <sz val="10"/>
        <rFont val="宋体"/>
        <charset val="134"/>
      </rPr>
      <t>万元；</t>
    </r>
    <r>
      <rPr>
        <sz val="10"/>
        <rFont val="Times New Roman"/>
        <charset val="134"/>
      </rPr>
      <t>65</t>
    </r>
    <r>
      <rPr>
        <sz val="10"/>
        <rFont val="宋体"/>
        <charset val="134"/>
      </rPr>
      <t>岁以上半失能低收入老人</t>
    </r>
    <r>
      <rPr>
        <sz val="10"/>
        <rFont val="Times New Roman"/>
        <charset val="134"/>
      </rPr>
      <t>100</t>
    </r>
    <r>
      <rPr>
        <sz val="10"/>
        <rFont val="宋体"/>
        <charset val="134"/>
      </rPr>
      <t>人，</t>
    </r>
    <r>
      <rPr>
        <sz val="10"/>
        <rFont val="Times New Roman"/>
        <charset val="134"/>
      </rPr>
      <t>300</t>
    </r>
    <r>
      <rPr>
        <sz val="10"/>
        <rFont val="宋体"/>
        <charset val="134"/>
      </rPr>
      <t>元</t>
    </r>
    <r>
      <rPr>
        <sz val="10"/>
        <rFont val="Times New Roman"/>
        <charset val="134"/>
      </rPr>
      <t>/</t>
    </r>
    <r>
      <rPr>
        <sz val="10"/>
        <rFont val="宋体"/>
        <charset val="134"/>
      </rPr>
      <t>月，</t>
    </r>
    <r>
      <rPr>
        <sz val="10"/>
        <rFont val="Times New Roman"/>
        <charset val="134"/>
      </rPr>
      <t>36</t>
    </r>
    <r>
      <rPr>
        <sz val="10"/>
        <rFont val="宋体"/>
        <charset val="134"/>
      </rPr>
      <t>万元；散居特困</t>
    </r>
    <r>
      <rPr>
        <sz val="10"/>
        <rFont val="Times New Roman"/>
        <charset val="134"/>
      </rPr>
      <t>15</t>
    </r>
    <r>
      <rPr>
        <sz val="10"/>
        <rFont val="宋体"/>
        <charset val="134"/>
      </rPr>
      <t>人，</t>
    </r>
    <r>
      <rPr>
        <sz val="10"/>
        <rFont val="Times New Roman"/>
        <charset val="134"/>
      </rPr>
      <t>400</t>
    </r>
    <r>
      <rPr>
        <sz val="10"/>
        <rFont val="宋体"/>
        <charset val="134"/>
      </rPr>
      <t>元</t>
    </r>
    <r>
      <rPr>
        <sz val="10"/>
        <rFont val="Times New Roman"/>
        <charset val="134"/>
      </rPr>
      <t>/</t>
    </r>
    <r>
      <rPr>
        <sz val="10"/>
        <rFont val="宋体"/>
        <charset val="134"/>
      </rPr>
      <t>月，</t>
    </r>
    <r>
      <rPr>
        <sz val="10"/>
        <rFont val="Times New Roman"/>
        <charset val="134"/>
      </rPr>
      <t>7.2</t>
    </r>
    <r>
      <rPr>
        <sz val="10"/>
        <rFont val="宋体"/>
        <charset val="134"/>
      </rPr>
      <t>万元，</t>
    </r>
    <r>
      <rPr>
        <sz val="10"/>
        <rFont val="Times New Roman"/>
        <charset val="134"/>
      </rPr>
      <t>35</t>
    </r>
    <r>
      <rPr>
        <sz val="10"/>
        <rFont val="宋体"/>
        <charset val="134"/>
      </rPr>
      <t>人，</t>
    </r>
    <r>
      <rPr>
        <sz val="10"/>
        <rFont val="Times New Roman"/>
        <charset val="134"/>
      </rPr>
      <t>300</t>
    </r>
    <r>
      <rPr>
        <sz val="10"/>
        <rFont val="宋体"/>
        <charset val="134"/>
      </rPr>
      <t>元</t>
    </r>
    <r>
      <rPr>
        <sz val="10"/>
        <rFont val="Times New Roman"/>
        <charset val="134"/>
      </rPr>
      <t>/</t>
    </r>
    <r>
      <rPr>
        <sz val="10"/>
        <rFont val="宋体"/>
        <charset val="134"/>
      </rPr>
      <t>月，</t>
    </r>
    <r>
      <rPr>
        <sz val="10"/>
        <rFont val="Times New Roman"/>
        <charset val="134"/>
      </rPr>
      <t>12.6</t>
    </r>
    <r>
      <rPr>
        <sz val="10"/>
        <rFont val="宋体"/>
        <charset val="134"/>
      </rPr>
      <t>万元。据实核拨。</t>
    </r>
  </si>
  <si>
    <t>养老机构养老护理员岗位补贴</t>
  </si>
  <si>
    <r>
      <rPr>
        <sz val="10"/>
        <rFont val="宋体"/>
        <charset val="134"/>
      </rPr>
      <t>初级</t>
    </r>
    <r>
      <rPr>
        <sz val="10"/>
        <rFont val="Times New Roman"/>
        <charset val="134"/>
      </rPr>
      <t>46</t>
    </r>
    <r>
      <rPr>
        <sz val="10"/>
        <rFont val="宋体"/>
        <charset val="134"/>
      </rPr>
      <t>名，</t>
    </r>
    <r>
      <rPr>
        <sz val="10"/>
        <rFont val="Times New Roman"/>
        <charset val="134"/>
      </rPr>
      <t>150</t>
    </r>
    <r>
      <rPr>
        <sz val="10"/>
        <rFont val="宋体"/>
        <charset val="134"/>
      </rPr>
      <t>元</t>
    </r>
    <r>
      <rPr>
        <sz val="10"/>
        <rFont val="Times New Roman"/>
        <charset val="134"/>
      </rPr>
      <t>/</t>
    </r>
    <r>
      <rPr>
        <sz val="10"/>
        <rFont val="宋体"/>
        <charset val="134"/>
      </rPr>
      <t>月，</t>
    </r>
    <r>
      <rPr>
        <sz val="10"/>
        <rFont val="Times New Roman"/>
        <charset val="134"/>
      </rPr>
      <t>8.28</t>
    </r>
    <r>
      <rPr>
        <sz val="10"/>
        <rFont val="宋体"/>
        <charset val="134"/>
      </rPr>
      <t>万元；高级</t>
    </r>
    <r>
      <rPr>
        <sz val="10"/>
        <rFont val="Times New Roman"/>
        <charset val="134"/>
      </rPr>
      <t>1</t>
    </r>
    <r>
      <rPr>
        <sz val="10"/>
        <rFont val="宋体"/>
        <charset val="134"/>
      </rPr>
      <t>名，</t>
    </r>
    <r>
      <rPr>
        <sz val="10"/>
        <rFont val="Times New Roman"/>
        <charset val="134"/>
      </rPr>
      <t>450</t>
    </r>
    <r>
      <rPr>
        <sz val="10"/>
        <rFont val="宋体"/>
        <charset val="134"/>
      </rPr>
      <t>元</t>
    </r>
    <r>
      <rPr>
        <sz val="10"/>
        <rFont val="Times New Roman"/>
        <charset val="134"/>
      </rPr>
      <t>/</t>
    </r>
    <r>
      <rPr>
        <sz val="10"/>
        <rFont val="宋体"/>
        <charset val="134"/>
      </rPr>
      <t>月，</t>
    </r>
    <r>
      <rPr>
        <sz val="10"/>
        <rFont val="Times New Roman"/>
        <charset val="134"/>
      </rPr>
      <t>5400</t>
    </r>
    <r>
      <rPr>
        <sz val="10"/>
        <rFont val="宋体"/>
        <charset val="134"/>
      </rPr>
      <t>元。（区级负担</t>
    </r>
    <r>
      <rPr>
        <sz val="10"/>
        <rFont val="Times New Roman"/>
        <charset val="134"/>
      </rPr>
      <t>1/3</t>
    </r>
    <r>
      <rPr>
        <sz val="10"/>
        <rFont val="宋体"/>
        <charset val="134"/>
      </rPr>
      <t>）据实核拨。</t>
    </r>
  </si>
  <si>
    <t>残疾人两项补贴</t>
  </si>
  <si>
    <r>
      <rPr>
        <sz val="10"/>
        <rFont val="宋体"/>
        <charset val="0"/>
      </rPr>
      <t>困难残疾人生活补贴</t>
    </r>
    <r>
      <rPr>
        <sz val="10"/>
        <rFont val="Times New Roman"/>
        <charset val="0"/>
      </rPr>
      <t>1184</t>
    </r>
    <r>
      <rPr>
        <sz val="10"/>
        <rFont val="宋体"/>
        <charset val="0"/>
      </rPr>
      <t>人，</t>
    </r>
    <r>
      <rPr>
        <sz val="10"/>
        <rFont val="Times New Roman"/>
        <charset val="0"/>
      </rPr>
      <t>100</t>
    </r>
    <r>
      <rPr>
        <sz val="10"/>
        <rFont val="宋体"/>
        <charset val="0"/>
      </rPr>
      <t>元</t>
    </r>
    <r>
      <rPr>
        <sz val="10"/>
        <rFont val="Times New Roman"/>
        <charset val="0"/>
      </rPr>
      <t>/</t>
    </r>
    <r>
      <rPr>
        <sz val="10"/>
        <rFont val="宋体"/>
        <charset val="0"/>
      </rPr>
      <t>月，</t>
    </r>
    <r>
      <rPr>
        <sz val="10"/>
        <rFont val="Times New Roman"/>
        <charset val="0"/>
      </rPr>
      <t>142.08</t>
    </r>
    <r>
      <rPr>
        <sz val="10"/>
        <rFont val="宋体"/>
        <charset val="0"/>
      </rPr>
      <t>万元；重度残疾人护理补贴</t>
    </r>
    <r>
      <rPr>
        <sz val="10"/>
        <rFont val="Times New Roman"/>
        <charset val="0"/>
      </rPr>
      <t>1874</t>
    </r>
    <r>
      <rPr>
        <sz val="10"/>
        <rFont val="宋体"/>
        <charset val="0"/>
      </rPr>
      <t>人，</t>
    </r>
    <r>
      <rPr>
        <sz val="10"/>
        <rFont val="Times New Roman"/>
        <charset val="0"/>
      </rPr>
      <t>100</t>
    </r>
    <r>
      <rPr>
        <sz val="10"/>
        <rFont val="宋体"/>
        <charset val="0"/>
      </rPr>
      <t>元</t>
    </r>
    <r>
      <rPr>
        <sz val="10"/>
        <rFont val="Times New Roman"/>
        <charset val="0"/>
      </rPr>
      <t>/</t>
    </r>
    <r>
      <rPr>
        <sz val="10"/>
        <rFont val="宋体"/>
        <charset val="0"/>
      </rPr>
      <t>月，</t>
    </r>
    <r>
      <rPr>
        <sz val="10"/>
        <rFont val="Times New Roman"/>
        <charset val="0"/>
      </rPr>
      <t>224.88</t>
    </r>
    <r>
      <rPr>
        <sz val="10"/>
        <rFont val="宋体"/>
        <charset val="0"/>
      </rPr>
      <t>万元。（省级负担</t>
    </r>
    <r>
      <rPr>
        <sz val="10"/>
        <rFont val="Times New Roman"/>
        <charset val="0"/>
      </rPr>
      <t>16.25</t>
    </r>
    <r>
      <rPr>
        <sz val="10"/>
        <rFont val="宋体"/>
        <charset val="0"/>
      </rPr>
      <t>元</t>
    </r>
    <r>
      <rPr>
        <sz val="10"/>
        <rFont val="Times New Roman"/>
        <charset val="0"/>
      </rPr>
      <t>/</t>
    </r>
    <r>
      <rPr>
        <sz val="10"/>
        <rFont val="宋体"/>
        <charset val="0"/>
      </rPr>
      <t>月，剩余部分市区各</t>
    </r>
    <r>
      <rPr>
        <sz val="10"/>
        <rFont val="Times New Roman"/>
        <charset val="0"/>
      </rPr>
      <t>50%</t>
    </r>
    <r>
      <rPr>
        <sz val="10"/>
        <rFont val="宋体"/>
        <charset val="0"/>
      </rPr>
      <t>）据实核拨。</t>
    </r>
  </si>
  <si>
    <t>210</t>
  </si>
  <si>
    <t>12</t>
  </si>
  <si>
    <t>困难企业退休人员基本医疗保险费</t>
  </si>
  <si>
    <r>
      <rPr>
        <sz val="10"/>
        <rFont val="宋体"/>
        <charset val="0"/>
      </rPr>
      <t>含</t>
    </r>
    <r>
      <rPr>
        <sz val="10"/>
        <rFont val="Times New Roman"/>
        <charset val="0"/>
      </rPr>
      <t>2020</t>
    </r>
    <r>
      <rPr>
        <sz val="10"/>
        <rFont val="宋体"/>
        <charset val="0"/>
      </rPr>
      <t>年</t>
    </r>
    <r>
      <rPr>
        <sz val="10"/>
        <rFont val="Times New Roman"/>
        <charset val="0"/>
      </rPr>
      <t>-2021</t>
    </r>
    <r>
      <rPr>
        <sz val="10"/>
        <rFont val="宋体"/>
        <charset val="0"/>
      </rPr>
      <t>年两年</t>
    </r>
  </si>
  <si>
    <t>打击欺诈骗保举报奖励</t>
  </si>
  <si>
    <t>15</t>
  </si>
  <si>
    <t>参保缴费代办工作劳务费（农村居民）等相关工作经费</t>
  </si>
  <si>
    <t>离休干部医药费</t>
  </si>
  <si>
    <t>城乡医疗救助资金</t>
  </si>
  <si>
    <t>城乡居民医保区级经费</t>
  </si>
  <si>
    <t>城乡居民医保特殊门诊专家评审费</t>
  </si>
  <si>
    <t>疫情防控经费</t>
  </si>
  <si>
    <t>优先统筹上级资金和抗疫国债。</t>
  </si>
  <si>
    <t>计划生育专项</t>
  </si>
  <si>
    <r>
      <rPr>
        <sz val="10"/>
        <rFont val="宋体"/>
        <charset val="134"/>
      </rPr>
      <t>计划生育家庭特别扶助经费</t>
    </r>
    <r>
      <rPr>
        <sz val="10"/>
        <rFont val="Times New Roman"/>
        <charset val="0"/>
      </rPr>
      <t>190</t>
    </r>
    <r>
      <rPr>
        <sz val="10"/>
        <rFont val="宋体"/>
        <charset val="134"/>
      </rPr>
      <t>万元，计划生育手术并发症扶助经费</t>
    </r>
    <r>
      <rPr>
        <sz val="10"/>
        <rFont val="Times New Roman"/>
        <charset val="0"/>
      </rPr>
      <t>2.34</t>
    </r>
    <r>
      <rPr>
        <sz val="10"/>
        <rFont val="宋体"/>
        <charset val="134"/>
      </rPr>
      <t>万元，农村部分计划生育家庭奖励扶助经费</t>
    </r>
    <r>
      <rPr>
        <sz val="10"/>
        <rFont val="Times New Roman"/>
        <charset val="0"/>
      </rPr>
      <t>16</t>
    </r>
    <r>
      <rPr>
        <sz val="10"/>
        <rFont val="宋体"/>
        <charset val="134"/>
      </rPr>
      <t>万元，独生子女保健费</t>
    </r>
    <r>
      <rPr>
        <sz val="10"/>
        <rFont val="Times New Roman"/>
        <charset val="0"/>
      </rPr>
      <t>12.99</t>
    </r>
    <r>
      <rPr>
        <sz val="10"/>
        <rFont val="宋体"/>
        <charset val="134"/>
      </rPr>
      <t>万元，城镇独生子女父母奖励</t>
    </r>
    <r>
      <rPr>
        <sz val="10"/>
        <rFont val="Times New Roman"/>
        <charset val="0"/>
      </rPr>
      <t>60</t>
    </r>
    <r>
      <rPr>
        <sz val="10"/>
        <rFont val="宋体"/>
        <charset val="134"/>
      </rPr>
      <t>万元，特扶对象关怀经费</t>
    </r>
    <r>
      <rPr>
        <sz val="10"/>
        <rFont val="Times New Roman"/>
        <charset val="0"/>
      </rPr>
      <t>77.06</t>
    </r>
    <r>
      <rPr>
        <sz val="10"/>
        <rFont val="宋体"/>
        <charset val="134"/>
      </rPr>
      <t>万元，计生协会工作经费</t>
    </r>
    <r>
      <rPr>
        <sz val="10"/>
        <rFont val="Times New Roman"/>
        <charset val="0"/>
      </rPr>
      <t>16</t>
    </r>
    <r>
      <rPr>
        <sz val="10"/>
        <rFont val="宋体"/>
        <charset val="134"/>
      </rPr>
      <t>万元，计生特殊家庭住院护理津贴保险</t>
    </r>
    <r>
      <rPr>
        <sz val="10"/>
        <rFont val="Times New Roman"/>
        <charset val="0"/>
      </rPr>
      <t>7</t>
    </r>
    <r>
      <rPr>
        <sz val="10"/>
        <rFont val="宋体"/>
        <charset val="134"/>
      </rPr>
      <t>万元，计生两女户家庭意外伤害保险费</t>
    </r>
    <r>
      <rPr>
        <sz val="10"/>
        <rFont val="Times New Roman"/>
        <charset val="0"/>
      </rPr>
      <t>30</t>
    </r>
    <r>
      <rPr>
        <sz val="10"/>
        <rFont val="宋体"/>
        <charset val="134"/>
      </rPr>
      <t>万元，计生手术费</t>
    </r>
    <r>
      <rPr>
        <sz val="10"/>
        <rFont val="Times New Roman"/>
        <charset val="0"/>
      </rPr>
      <t>9</t>
    </r>
    <r>
      <rPr>
        <sz val="10"/>
        <rFont val="宋体"/>
        <charset val="134"/>
      </rPr>
      <t>万元，计生工作经费</t>
    </r>
    <r>
      <rPr>
        <sz val="10"/>
        <rFont val="Times New Roman"/>
        <charset val="0"/>
      </rPr>
      <t>18</t>
    </r>
    <r>
      <rPr>
        <sz val="10"/>
        <rFont val="宋体"/>
        <charset val="134"/>
      </rPr>
      <t>万元，据实核拨。</t>
    </r>
  </si>
  <si>
    <t>医疗卫生专项</t>
  </si>
  <si>
    <r>
      <rPr>
        <sz val="10"/>
        <rFont val="宋体"/>
        <charset val="134"/>
      </rPr>
      <t>爱卫专项</t>
    </r>
    <r>
      <rPr>
        <sz val="10"/>
        <rFont val="Times New Roman"/>
        <charset val="0"/>
      </rPr>
      <t>37</t>
    </r>
    <r>
      <rPr>
        <sz val="10"/>
        <rFont val="宋体"/>
        <charset val="134"/>
      </rPr>
      <t>万元，国卫复审专项</t>
    </r>
    <r>
      <rPr>
        <sz val="10"/>
        <rFont val="Times New Roman"/>
        <charset val="0"/>
      </rPr>
      <t>20</t>
    </r>
    <r>
      <rPr>
        <sz val="10"/>
        <rFont val="宋体"/>
        <charset val="134"/>
      </rPr>
      <t>万元（含考评），基层卫生人才</t>
    </r>
    <r>
      <rPr>
        <sz val="10"/>
        <rFont val="Times New Roman"/>
        <charset val="0"/>
      </rPr>
      <t>“135”</t>
    </r>
    <r>
      <rPr>
        <sz val="10"/>
        <rFont val="宋体"/>
        <charset val="134"/>
      </rPr>
      <t>工程学科骨干补贴</t>
    </r>
    <r>
      <rPr>
        <sz val="10"/>
        <rFont val="Times New Roman"/>
        <charset val="0"/>
      </rPr>
      <t>6</t>
    </r>
    <r>
      <rPr>
        <sz val="10"/>
        <rFont val="宋体"/>
        <charset val="134"/>
      </rPr>
      <t>万元，基层医疗机构医疗设备新三件配置经费</t>
    </r>
    <r>
      <rPr>
        <sz val="10"/>
        <rFont val="Times New Roman"/>
        <charset val="0"/>
      </rPr>
      <t>98</t>
    </r>
    <r>
      <rPr>
        <sz val="10"/>
        <rFont val="宋体"/>
        <charset val="134"/>
      </rPr>
      <t>万元，基本公共卫生服务项目</t>
    </r>
    <r>
      <rPr>
        <sz val="10"/>
        <rFont val="Times New Roman"/>
        <charset val="0"/>
      </rPr>
      <t>305</t>
    </r>
    <r>
      <rPr>
        <sz val="10"/>
        <rFont val="宋体"/>
        <charset val="134"/>
      </rPr>
      <t>万元，互联网</t>
    </r>
    <r>
      <rPr>
        <sz val="10"/>
        <rFont val="Times New Roman"/>
        <charset val="0"/>
      </rPr>
      <t>+</t>
    </r>
    <r>
      <rPr>
        <sz val="10"/>
        <rFont val="宋体"/>
        <charset val="134"/>
      </rPr>
      <t>医疗健康项目</t>
    </r>
    <r>
      <rPr>
        <sz val="10"/>
        <rFont val="Times New Roman"/>
        <charset val="0"/>
      </rPr>
      <t>207.6</t>
    </r>
    <r>
      <rPr>
        <sz val="10"/>
        <rFont val="宋体"/>
        <charset val="134"/>
      </rPr>
      <t>万元，村卫生室运行经费</t>
    </r>
    <r>
      <rPr>
        <sz val="10"/>
        <rFont val="Times New Roman"/>
        <charset val="0"/>
      </rPr>
      <t>5.4</t>
    </r>
    <r>
      <rPr>
        <sz val="10"/>
        <rFont val="宋体"/>
        <charset val="134"/>
      </rPr>
      <t>万元，全科医生津贴</t>
    </r>
    <r>
      <rPr>
        <sz val="10"/>
        <rFont val="Times New Roman"/>
        <charset val="0"/>
      </rPr>
      <t>31.8</t>
    </r>
    <r>
      <rPr>
        <sz val="10"/>
        <rFont val="宋体"/>
        <charset val="134"/>
      </rPr>
      <t>万元，村卫生室基本药物制度实施补助经费</t>
    </r>
    <r>
      <rPr>
        <sz val="10"/>
        <rFont val="Times New Roman"/>
        <charset val="0"/>
      </rPr>
      <t>82</t>
    </r>
    <r>
      <rPr>
        <sz val="10"/>
        <rFont val="宋体"/>
        <charset val="134"/>
      </rPr>
      <t>万元，中医药事业发展专项</t>
    </r>
    <r>
      <rPr>
        <sz val="10"/>
        <rFont val="Times New Roman"/>
        <charset val="0"/>
      </rPr>
      <t>20</t>
    </r>
    <r>
      <rPr>
        <sz val="10"/>
        <rFont val="宋体"/>
        <charset val="134"/>
      </rPr>
      <t>万元，医师节、护士节经费</t>
    </r>
    <r>
      <rPr>
        <sz val="10"/>
        <rFont val="Times New Roman"/>
        <charset val="0"/>
      </rPr>
      <t>5</t>
    </r>
    <r>
      <rPr>
        <sz val="10"/>
        <rFont val="宋体"/>
        <charset val="134"/>
      </rPr>
      <t>万元，区肇事肇祸等严重精神障碍患者监护奖励经费</t>
    </r>
    <r>
      <rPr>
        <sz val="10"/>
        <rFont val="Times New Roman"/>
        <charset val="0"/>
      </rPr>
      <t>53</t>
    </r>
    <r>
      <rPr>
        <sz val="10"/>
        <rFont val="宋体"/>
        <charset val="134"/>
      </rPr>
      <t>万元，巩固全国健康促进区</t>
    </r>
    <r>
      <rPr>
        <sz val="10"/>
        <rFont val="Times New Roman"/>
        <charset val="0"/>
      </rPr>
      <t>10</t>
    </r>
    <r>
      <rPr>
        <sz val="10"/>
        <rFont val="宋体"/>
        <charset val="134"/>
      </rPr>
      <t>万元，许可证经费</t>
    </r>
    <r>
      <rPr>
        <sz val="10"/>
        <rFont val="Times New Roman"/>
        <charset val="0"/>
      </rPr>
      <t>2</t>
    </r>
    <r>
      <rPr>
        <sz val="10"/>
        <rFont val="宋体"/>
        <charset val="134"/>
      </rPr>
      <t>万元。</t>
    </r>
  </si>
  <si>
    <t>老龄事务专项</t>
  </si>
  <si>
    <r>
      <rPr>
        <sz val="10"/>
        <rFont val="Times New Roman"/>
        <charset val="0"/>
      </rPr>
      <t>“</t>
    </r>
    <r>
      <rPr>
        <sz val="10"/>
        <rFont val="宋体"/>
        <charset val="0"/>
      </rPr>
      <t>银龄安康</t>
    </r>
    <r>
      <rPr>
        <sz val="10"/>
        <rFont val="Times New Roman"/>
        <charset val="0"/>
      </rPr>
      <t>”</t>
    </r>
    <r>
      <rPr>
        <sz val="10"/>
        <rFont val="宋体"/>
        <charset val="0"/>
      </rPr>
      <t>工程</t>
    </r>
    <r>
      <rPr>
        <sz val="10"/>
        <rFont val="Times New Roman"/>
        <charset val="0"/>
      </rPr>
      <t>17</t>
    </r>
    <r>
      <rPr>
        <sz val="10"/>
        <rFont val="宋体"/>
        <charset val="0"/>
      </rPr>
      <t>万元（购买意外伤害保险），老龄事务经费</t>
    </r>
    <r>
      <rPr>
        <sz val="10"/>
        <rFont val="Times New Roman"/>
        <charset val="0"/>
      </rPr>
      <t>2</t>
    </r>
    <r>
      <rPr>
        <sz val="10"/>
        <rFont val="宋体"/>
        <charset val="0"/>
      </rPr>
      <t>万元，老人保健协会</t>
    </r>
    <r>
      <rPr>
        <sz val="10"/>
        <rFont val="Times New Roman"/>
        <charset val="0"/>
      </rPr>
      <t>3</t>
    </r>
    <r>
      <rPr>
        <sz val="10"/>
        <rFont val="宋体"/>
        <charset val="0"/>
      </rPr>
      <t>万元。</t>
    </r>
  </si>
  <si>
    <t>疾病预防控制专项</t>
  </si>
  <si>
    <r>
      <rPr>
        <sz val="10"/>
        <rFont val="宋体"/>
        <charset val="0"/>
      </rPr>
      <t>传染病防控</t>
    </r>
    <r>
      <rPr>
        <sz val="10"/>
        <rFont val="Times New Roman"/>
        <charset val="0"/>
      </rPr>
      <t>12</t>
    </r>
    <r>
      <rPr>
        <sz val="10"/>
        <rFont val="宋体"/>
        <charset val="0"/>
      </rPr>
      <t>万元，水质、食品安全及公共场所监测15万元，寄地麻和病媒生物防治5万元，慢性病、精神病防治18万元，一类疫苗经费50万元。</t>
    </r>
  </si>
  <si>
    <t>突发公共卫生事件处置</t>
  </si>
  <si>
    <t>预防性健康体检项目</t>
  </si>
  <si>
    <r>
      <rPr>
        <sz val="10"/>
        <rFont val="宋体"/>
        <charset val="0"/>
      </rPr>
      <t>计划</t>
    </r>
    <r>
      <rPr>
        <sz val="10"/>
        <rFont val="Times New Roman"/>
        <charset val="0"/>
      </rPr>
      <t>10000</t>
    </r>
    <r>
      <rPr>
        <sz val="10"/>
        <rFont val="宋体"/>
        <charset val="0"/>
      </rPr>
      <t>人次，45元/人。据实核拨。</t>
    </r>
  </si>
  <si>
    <r>
      <rPr>
        <sz val="10"/>
        <rFont val="宋体"/>
        <charset val="134"/>
      </rPr>
      <t>农村和城镇低保适龄妇女</t>
    </r>
    <r>
      <rPr>
        <sz val="10"/>
        <rFont val="Times New Roman"/>
        <charset val="134"/>
      </rPr>
      <t>"</t>
    </r>
    <r>
      <rPr>
        <sz val="10"/>
        <rFont val="宋体"/>
        <charset val="134"/>
      </rPr>
      <t>两癌</t>
    </r>
    <r>
      <rPr>
        <sz val="10"/>
        <rFont val="Times New Roman"/>
        <charset val="134"/>
      </rPr>
      <t>"</t>
    </r>
    <r>
      <rPr>
        <sz val="10"/>
        <rFont val="宋体"/>
        <charset val="134"/>
      </rPr>
      <t>免费检查项目</t>
    </r>
  </si>
  <si>
    <r>
      <rPr>
        <sz val="10"/>
        <rFont val="宋体"/>
        <charset val="134"/>
      </rPr>
      <t>筛查人数</t>
    </r>
    <r>
      <rPr>
        <sz val="10"/>
        <rFont val="Times New Roman"/>
        <charset val="0"/>
      </rPr>
      <t>3000</t>
    </r>
    <r>
      <rPr>
        <sz val="10"/>
        <rFont val="宋体"/>
        <charset val="134"/>
      </rPr>
      <t>人，</t>
    </r>
    <r>
      <rPr>
        <sz val="10"/>
        <rFont val="Times New Roman"/>
        <charset val="0"/>
      </rPr>
      <t>140</t>
    </r>
    <r>
      <rPr>
        <sz val="10"/>
        <rFont val="宋体"/>
        <charset val="134"/>
      </rPr>
      <t>元</t>
    </r>
    <r>
      <rPr>
        <sz val="10"/>
        <rFont val="Times New Roman"/>
        <charset val="0"/>
      </rPr>
      <t>/</t>
    </r>
    <r>
      <rPr>
        <sz val="10"/>
        <rFont val="宋体"/>
        <charset val="134"/>
      </rPr>
      <t>人，</t>
    </r>
    <r>
      <rPr>
        <sz val="10"/>
        <rFont val="Times New Roman"/>
        <charset val="0"/>
      </rPr>
      <t>42</t>
    </r>
    <r>
      <rPr>
        <sz val="10"/>
        <rFont val="宋体"/>
        <charset val="134"/>
      </rPr>
      <t>万元。市、区级各</t>
    </r>
    <r>
      <rPr>
        <sz val="10"/>
        <rFont val="Times New Roman"/>
        <charset val="0"/>
      </rPr>
      <t>50%</t>
    </r>
    <r>
      <rPr>
        <sz val="10"/>
        <rFont val="宋体"/>
        <charset val="134"/>
      </rPr>
      <t>。</t>
    </r>
  </si>
  <si>
    <t>免费产前筛查项目</t>
  </si>
  <si>
    <r>
      <rPr>
        <sz val="10"/>
        <rFont val="宋体"/>
        <charset val="134"/>
      </rPr>
      <t>任务</t>
    </r>
    <r>
      <rPr>
        <sz val="10"/>
        <rFont val="Times New Roman"/>
        <charset val="0"/>
      </rPr>
      <t>2798</t>
    </r>
    <r>
      <rPr>
        <sz val="10"/>
        <rFont val="宋体"/>
        <charset val="134"/>
      </rPr>
      <t>人，</t>
    </r>
    <r>
      <rPr>
        <sz val="10"/>
        <rFont val="Times New Roman"/>
        <charset val="0"/>
      </rPr>
      <t>174</t>
    </r>
    <r>
      <rPr>
        <sz val="10"/>
        <rFont val="宋体"/>
        <charset val="134"/>
      </rPr>
      <t>元</t>
    </r>
    <r>
      <rPr>
        <sz val="10"/>
        <rFont val="Times New Roman"/>
        <charset val="0"/>
      </rPr>
      <t>/</t>
    </r>
    <r>
      <rPr>
        <sz val="10"/>
        <rFont val="宋体"/>
        <charset val="134"/>
      </rPr>
      <t>人，</t>
    </r>
    <r>
      <rPr>
        <sz val="10"/>
        <rFont val="Times New Roman"/>
        <charset val="0"/>
      </rPr>
      <t>34.8</t>
    </r>
    <r>
      <rPr>
        <sz val="10"/>
        <rFont val="宋体"/>
        <charset val="134"/>
      </rPr>
      <t>万元，省级</t>
    </r>
    <r>
      <rPr>
        <sz val="10"/>
        <rFont val="Times New Roman"/>
        <charset val="0"/>
      </rPr>
      <t>40%</t>
    </r>
    <r>
      <rPr>
        <sz val="10"/>
        <rFont val="宋体"/>
        <charset val="134"/>
      </rPr>
      <t>、市、区级各</t>
    </r>
    <r>
      <rPr>
        <sz val="10"/>
        <rFont val="Times New Roman"/>
        <charset val="0"/>
      </rPr>
      <t>30%</t>
    </r>
    <r>
      <rPr>
        <sz val="10"/>
        <rFont val="宋体"/>
        <charset val="134"/>
      </rPr>
      <t>。</t>
    </r>
  </si>
  <si>
    <t>免费婚前医学检查项目</t>
  </si>
  <si>
    <r>
      <rPr>
        <sz val="10"/>
        <rFont val="Times New Roman"/>
        <charset val="0"/>
      </rPr>
      <t>100</t>
    </r>
    <r>
      <rPr>
        <sz val="10"/>
        <rFont val="宋体"/>
        <charset val="134"/>
      </rPr>
      <t>元</t>
    </r>
    <r>
      <rPr>
        <sz val="10"/>
        <rFont val="Times New Roman"/>
        <charset val="0"/>
      </rPr>
      <t>/</t>
    </r>
    <r>
      <rPr>
        <sz val="10"/>
        <rFont val="宋体"/>
        <charset val="134"/>
      </rPr>
      <t>对，据实核拨。</t>
    </r>
  </si>
  <si>
    <t>免费孕前优生检查项目</t>
  </si>
  <si>
    <t>212</t>
  </si>
  <si>
    <t>无物业管理小区业主自治和改造专项</t>
  </si>
  <si>
    <r>
      <rPr>
        <sz val="10"/>
        <rFont val="Times New Roman"/>
        <charset val="0"/>
      </rPr>
      <t>2020</t>
    </r>
    <r>
      <rPr>
        <sz val="10"/>
        <rFont val="宋体"/>
        <charset val="0"/>
      </rPr>
      <t>年</t>
    </r>
    <r>
      <rPr>
        <sz val="10"/>
        <rFont val="Times New Roman"/>
        <charset val="0"/>
      </rPr>
      <t>40</t>
    </r>
    <r>
      <rPr>
        <sz val="10"/>
        <rFont val="宋体"/>
        <charset val="0"/>
      </rPr>
      <t>个无物业管理小区业主自治和改造，</t>
    </r>
    <r>
      <rPr>
        <sz val="10"/>
        <rFont val="Times New Roman"/>
        <charset val="0"/>
      </rPr>
      <t>2</t>
    </r>
    <r>
      <rPr>
        <sz val="10"/>
        <rFont val="宋体"/>
        <charset val="0"/>
      </rPr>
      <t>万元</t>
    </r>
    <r>
      <rPr>
        <sz val="10"/>
        <rFont val="Times New Roman"/>
        <charset val="0"/>
      </rPr>
      <t>/</t>
    </r>
    <r>
      <rPr>
        <sz val="10"/>
        <rFont val="宋体"/>
        <charset val="0"/>
      </rPr>
      <t>个。</t>
    </r>
  </si>
  <si>
    <t>城区既有住宅电梯加装专项</t>
  </si>
  <si>
    <r>
      <rPr>
        <sz val="10"/>
        <rFont val="宋体"/>
        <charset val="134"/>
      </rPr>
      <t>市区两级各</t>
    </r>
    <r>
      <rPr>
        <sz val="10"/>
        <rFont val="Times New Roman"/>
        <charset val="0"/>
      </rPr>
      <t>5</t>
    </r>
    <r>
      <rPr>
        <sz val="10"/>
        <rFont val="宋体"/>
        <charset val="134"/>
      </rPr>
      <t>万元</t>
    </r>
    <r>
      <rPr>
        <sz val="10"/>
        <rFont val="Times New Roman"/>
        <charset val="0"/>
      </rPr>
      <t>/</t>
    </r>
    <r>
      <rPr>
        <sz val="10"/>
        <rFont val="宋体"/>
        <charset val="134"/>
      </rPr>
      <t>台，</t>
    </r>
    <r>
      <rPr>
        <sz val="10"/>
        <rFont val="Times New Roman"/>
        <charset val="0"/>
      </rPr>
      <t>2021</t>
    </r>
    <r>
      <rPr>
        <sz val="10"/>
        <rFont val="宋体"/>
        <charset val="134"/>
      </rPr>
      <t>年计划</t>
    </r>
    <r>
      <rPr>
        <sz val="10"/>
        <rFont val="Times New Roman"/>
        <charset val="0"/>
      </rPr>
      <t>20</t>
    </r>
    <r>
      <rPr>
        <sz val="10"/>
        <rFont val="宋体"/>
        <charset val="134"/>
      </rPr>
      <t>台。</t>
    </r>
  </si>
  <si>
    <t>水环境治理</t>
  </si>
  <si>
    <t>上年结转一般债券安排120万元，上年结转抗疫国债安排258万元。</t>
  </si>
  <si>
    <t>地质灾害治理</t>
  </si>
  <si>
    <t>上年结转一般债券安排210万元。</t>
  </si>
  <si>
    <t>基础设施及提质改造</t>
  </si>
  <si>
    <r>
      <rPr>
        <sz val="10"/>
        <rFont val="宋体"/>
        <charset val="134"/>
      </rPr>
      <t>上年结转一般债券安排</t>
    </r>
    <r>
      <rPr>
        <sz val="10"/>
        <rFont val="Times New Roman"/>
        <charset val="134"/>
      </rPr>
      <t>1665</t>
    </r>
    <r>
      <rPr>
        <sz val="10"/>
        <rFont val="宋体"/>
        <charset val="134"/>
      </rPr>
      <t>万元，上年结转抗疫国债安排</t>
    </r>
    <r>
      <rPr>
        <sz val="10"/>
        <rFont val="Times New Roman"/>
        <charset val="134"/>
      </rPr>
      <t>700</t>
    </r>
    <r>
      <rPr>
        <sz val="10"/>
        <rFont val="宋体"/>
        <charset val="134"/>
      </rPr>
      <t>万元。</t>
    </r>
  </si>
  <si>
    <t>214</t>
  </si>
  <si>
    <t>交通问题顽瘴痼疾整治</t>
  </si>
  <si>
    <r>
      <rPr>
        <sz val="10"/>
        <rFont val="宋体"/>
        <charset val="134"/>
      </rPr>
      <t>顽瘴痼疾办公室</t>
    </r>
    <r>
      <rPr>
        <sz val="10"/>
        <rFont val="Times New Roman"/>
        <charset val="134"/>
      </rPr>
      <t>20</t>
    </r>
    <r>
      <rPr>
        <sz val="10"/>
        <rFont val="宋体"/>
        <charset val="134"/>
      </rPr>
      <t>万元，整治经费20万元、治超经费</t>
    </r>
    <r>
      <rPr>
        <sz val="10"/>
        <rFont val="Times New Roman"/>
        <charset val="134"/>
      </rPr>
      <t>10</t>
    </r>
    <r>
      <rPr>
        <sz val="10"/>
        <rFont val="宋体"/>
        <charset val="134"/>
      </rPr>
      <t>万元，拖拉机安全经费</t>
    </r>
    <r>
      <rPr>
        <sz val="10"/>
        <rFont val="Times New Roman"/>
        <charset val="134"/>
      </rPr>
      <t>3</t>
    </r>
    <r>
      <rPr>
        <sz val="10"/>
        <rFont val="宋体"/>
        <charset val="134"/>
      </rPr>
      <t>万元。</t>
    </r>
  </si>
  <si>
    <t>农村公路建设及维修</t>
  </si>
  <si>
    <r>
      <rPr>
        <sz val="10"/>
        <rFont val="宋体"/>
        <charset val="134"/>
      </rPr>
      <t>建设管理工作经费</t>
    </r>
    <r>
      <rPr>
        <sz val="10"/>
        <rFont val="Times New Roman"/>
        <charset val="134"/>
      </rPr>
      <t>10</t>
    </r>
    <r>
      <rPr>
        <sz val="10"/>
        <rFont val="宋体"/>
        <charset val="134"/>
      </rPr>
      <t>万元。</t>
    </r>
    <r>
      <rPr>
        <sz val="10"/>
        <rFont val="Times New Roman"/>
        <charset val="134"/>
      </rPr>
      <t>2020</t>
    </r>
    <r>
      <rPr>
        <sz val="10"/>
        <rFont val="宋体"/>
        <charset val="134"/>
      </rPr>
      <t>年结转一般债券资金。</t>
    </r>
  </si>
  <si>
    <t>农村保洁专项</t>
  </si>
  <si>
    <r>
      <rPr>
        <sz val="10"/>
        <rFont val="宋体"/>
        <charset val="134"/>
      </rPr>
      <t>三乡保洁市场化</t>
    </r>
    <r>
      <rPr>
        <sz val="10"/>
        <rFont val="Times New Roman"/>
        <charset val="134"/>
      </rPr>
      <t>625.43</t>
    </r>
    <r>
      <rPr>
        <sz val="10"/>
        <rFont val="宋体"/>
        <charset val="134"/>
      </rPr>
      <t>万元，白关垃圾外运服务</t>
    </r>
    <r>
      <rPr>
        <sz val="10"/>
        <rFont val="Times New Roman"/>
        <charset val="134"/>
      </rPr>
      <t>133.53</t>
    </r>
    <r>
      <rPr>
        <sz val="10"/>
        <rFont val="宋体"/>
        <charset val="134"/>
      </rPr>
      <t>万元，涉农街道保洁（龙泉、庆云、枫溪）</t>
    </r>
    <r>
      <rPr>
        <sz val="10"/>
        <rFont val="Times New Roman"/>
        <charset val="134"/>
      </rPr>
      <t>100</t>
    </r>
    <r>
      <rPr>
        <sz val="10"/>
        <rFont val="宋体"/>
        <charset val="134"/>
      </rPr>
      <t>万元。</t>
    </r>
  </si>
  <si>
    <t>城管考评经费</t>
  </si>
  <si>
    <r>
      <rPr>
        <sz val="10"/>
        <rFont val="宋体"/>
        <charset val="134"/>
      </rPr>
      <t>城管考评资金</t>
    </r>
    <r>
      <rPr>
        <sz val="10"/>
        <rFont val="Times New Roman"/>
        <charset val="134"/>
      </rPr>
      <t>100</t>
    </r>
    <r>
      <rPr>
        <sz val="10"/>
        <rFont val="宋体"/>
        <charset val="134"/>
      </rPr>
      <t>万元、拆违考评资金</t>
    </r>
    <r>
      <rPr>
        <sz val="10"/>
        <rFont val="Times New Roman"/>
        <charset val="134"/>
      </rPr>
      <t>100</t>
    </r>
    <r>
      <rPr>
        <sz val="10"/>
        <rFont val="宋体"/>
        <charset val="134"/>
      </rPr>
      <t>万元。</t>
    </r>
  </si>
  <si>
    <t>企业办市政设施分离移交后维护经费</t>
  </si>
  <si>
    <t>南方公司企业办市政设施分离移交后运维经费</t>
  </si>
  <si>
    <t>城管综合指挥及市政维护经费</t>
  </si>
  <si>
    <r>
      <rPr>
        <sz val="10"/>
        <rFont val="宋体"/>
        <charset val="134"/>
      </rPr>
      <t>指挥中心</t>
    </r>
    <r>
      <rPr>
        <sz val="10"/>
        <rFont val="Times New Roman"/>
        <charset val="134"/>
      </rPr>
      <t>157.2</t>
    </r>
    <r>
      <rPr>
        <sz val="10"/>
        <rFont val="宋体"/>
        <charset val="134"/>
      </rPr>
      <t>万元；市政工程</t>
    </r>
    <r>
      <rPr>
        <sz val="10"/>
        <rFont val="Times New Roman"/>
        <charset val="134"/>
      </rPr>
      <t>142.3</t>
    </r>
    <r>
      <rPr>
        <sz val="10"/>
        <rFont val="宋体"/>
        <charset val="134"/>
      </rPr>
      <t>万元，市政设施维修维护</t>
    </r>
    <r>
      <rPr>
        <sz val="10"/>
        <rFont val="Times New Roman"/>
        <charset val="134"/>
      </rPr>
      <t>137</t>
    </r>
    <r>
      <rPr>
        <sz val="10"/>
        <rFont val="宋体"/>
        <charset val="134"/>
      </rPr>
      <t>万元。</t>
    </r>
  </si>
  <si>
    <t>节日绿化提质经费</t>
  </si>
  <si>
    <t>春节、元旦、五一、国庆4个节日。</t>
  </si>
  <si>
    <t>垃圾分类</t>
  </si>
  <si>
    <t>垃圾站、公厕建设维护经费</t>
  </si>
  <si>
    <r>
      <rPr>
        <sz val="10"/>
        <rFont val="宋体"/>
        <charset val="134"/>
      </rPr>
      <t>垃圾中转站手续费</t>
    </r>
    <r>
      <rPr>
        <sz val="10"/>
        <rFont val="Times New Roman"/>
        <charset val="134"/>
      </rPr>
      <t>66</t>
    </r>
    <r>
      <rPr>
        <sz val="10"/>
        <rFont val="宋体"/>
        <charset val="134"/>
      </rPr>
      <t>万元，除臭设备</t>
    </r>
    <r>
      <rPr>
        <sz val="10"/>
        <rFont val="Times New Roman"/>
        <charset val="134"/>
      </rPr>
      <t>76.78</t>
    </r>
    <r>
      <rPr>
        <sz val="10"/>
        <rFont val="宋体"/>
        <charset val="134"/>
      </rPr>
      <t>万元，垃圾直运站改建</t>
    </r>
    <r>
      <rPr>
        <sz val="10"/>
        <rFont val="Times New Roman"/>
        <charset val="134"/>
      </rPr>
      <t>26</t>
    </r>
    <r>
      <rPr>
        <sz val="10"/>
        <rFont val="宋体"/>
        <charset val="134"/>
      </rPr>
      <t>万元，环卫提质</t>
    </r>
    <r>
      <rPr>
        <sz val="10"/>
        <rFont val="Times New Roman"/>
        <charset val="134"/>
      </rPr>
      <t>50</t>
    </r>
    <r>
      <rPr>
        <sz val="10"/>
        <rFont val="宋体"/>
        <charset val="134"/>
      </rPr>
      <t>万元。</t>
    </r>
  </si>
  <si>
    <t>城市环卫市场化经费</t>
  </si>
  <si>
    <r>
      <rPr>
        <sz val="10"/>
        <rFont val="宋体"/>
        <charset val="134"/>
      </rPr>
      <t>环卫市场化</t>
    </r>
    <r>
      <rPr>
        <sz val="10"/>
        <rFont val="Times New Roman"/>
        <charset val="134"/>
      </rPr>
      <t>1-5</t>
    </r>
    <r>
      <rPr>
        <sz val="10"/>
        <rFont val="宋体"/>
        <charset val="134"/>
      </rPr>
      <t>标段（含</t>
    </r>
    <r>
      <rPr>
        <sz val="10"/>
        <rFont val="Times New Roman"/>
        <charset val="134"/>
      </rPr>
      <t>3</t>
    </r>
    <r>
      <rPr>
        <sz val="10"/>
        <rFont val="宋体"/>
        <charset val="134"/>
      </rPr>
      <t>标段内新增面积）</t>
    </r>
    <r>
      <rPr>
        <sz val="10"/>
        <rFont val="Times New Roman"/>
        <charset val="134"/>
      </rPr>
      <t>4665.23</t>
    </r>
    <r>
      <rPr>
        <sz val="10"/>
        <rFont val="宋体"/>
        <charset val="134"/>
      </rPr>
      <t>万元（以实际中标金额为准），垃圾清运市场化</t>
    </r>
    <r>
      <rPr>
        <sz val="10"/>
        <rFont val="Times New Roman"/>
        <charset val="134"/>
      </rPr>
      <t>463.91</t>
    </r>
    <r>
      <rPr>
        <sz val="10"/>
        <rFont val="宋体"/>
        <charset val="134"/>
      </rPr>
      <t>万元，火车站前坪环卫市场化</t>
    </r>
    <r>
      <rPr>
        <sz val="10"/>
        <rFont val="Times New Roman"/>
        <charset val="134"/>
      </rPr>
      <t>22</t>
    </r>
    <r>
      <rPr>
        <sz val="10"/>
        <rFont val="宋体"/>
        <charset val="134"/>
      </rPr>
      <t>万元，雾炮车运维90万元，国控点洒水6</t>
    </r>
    <r>
      <rPr>
        <sz val="10"/>
        <rFont val="Times New Roman"/>
        <charset val="134"/>
      </rPr>
      <t>0</t>
    </r>
    <r>
      <rPr>
        <sz val="10"/>
        <rFont val="宋体"/>
        <charset val="134"/>
      </rPr>
      <t>万元，环卫市政用水</t>
    </r>
    <r>
      <rPr>
        <sz val="10"/>
        <rFont val="Times New Roman"/>
        <charset val="134"/>
      </rPr>
      <t>50</t>
    </r>
    <r>
      <rPr>
        <sz val="10"/>
        <rFont val="宋体"/>
        <charset val="134"/>
      </rPr>
      <t>万元，第四轮环卫市场化咨询费</t>
    </r>
    <r>
      <rPr>
        <sz val="10"/>
        <rFont val="Times New Roman"/>
        <charset val="134"/>
      </rPr>
      <t>18</t>
    </r>
    <r>
      <rPr>
        <sz val="10"/>
        <rFont val="宋体"/>
        <charset val="134"/>
      </rPr>
      <t>万元。</t>
    </r>
  </si>
  <si>
    <t>董家塅片区保洁经费</t>
  </si>
  <si>
    <t>建宁驿站运维经费</t>
  </si>
  <si>
    <r>
      <rPr>
        <sz val="10"/>
        <rFont val="宋体"/>
        <charset val="134"/>
      </rPr>
      <t>建宁驿站运维</t>
    </r>
    <r>
      <rPr>
        <sz val="10"/>
        <rFont val="Times New Roman"/>
        <charset val="0"/>
      </rPr>
      <t>300</t>
    </r>
    <r>
      <rPr>
        <sz val="10"/>
        <rFont val="宋体"/>
        <charset val="134"/>
      </rPr>
      <t>万元，建宁驿站并网</t>
    </r>
    <r>
      <rPr>
        <sz val="10"/>
        <rFont val="Times New Roman"/>
        <charset val="0"/>
      </rPr>
      <t>50</t>
    </r>
    <r>
      <rPr>
        <sz val="10"/>
        <rFont val="宋体"/>
        <charset val="134"/>
      </rPr>
      <t>万元。</t>
    </r>
  </si>
  <si>
    <t>城管制服经费</t>
  </si>
  <si>
    <t>城市管理综合执法经费</t>
  </si>
  <si>
    <r>
      <rPr>
        <sz val="10"/>
        <rFont val="宋体"/>
        <charset val="134"/>
      </rPr>
      <t>停车场租赁费用</t>
    </r>
    <r>
      <rPr>
        <sz val="10"/>
        <rFont val="Times New Roman"/>
        <charset val="0"/>
      </rPr>
      <t>51</t>
    </r>
    <r>
      <rPr>
        <sz val="10"/>
        <rFont val="宋体"/>
        <charset val="134"/>
      </rPr>
      <t>万元，环卫市场化第六标段</t>
    </r>
    <r>
      <rPr>
        <sz val="10"/>
        <rFont val="Times New Roman"/>
        <charset val="0"/>
      </rPr>
      <t>“</t>
    </r>
    <r>
      <rPr>
        <sz val="10"/>
        <rFont val="宋体"/>
        <charset val="134"/>
      </rPr>
      <t>牛皮癣</t>
    </r>
    <r>
      <rPr>
        <sz val="10"/>
        <rFont val="Times New Roman"/>
        <charset val="0"/>
      </rPr>
      <t>”</t>
    </r>
    <r>
      <rPr>
        <sz val="10"/>
        <rFont val="宋体"/>
        <charset val="134"/>
      </rPr>
      <t>清理经费</t>
    </r>
    <r>
      <rPr>
        <sz val="10"/>
        <rFont val="Times New Roman"/>
        <charset val="0"/>
      </rPr>
      <t>69.62</t>
    </r>
    <r>
      <rPr>
        <sz val="10"/>
        <rFont val="宋体"/>
        <charset val="134"/>
      </rPr>
      <t>万元，土地违法行为整治专项费用</t>
    </r>
    <r>
      <rPr>
        <sz val="10"/>
        <rFont val="Times New Roman"/>
        <charset val="0"/>
      </rPr>
      <t>70</t>
    </r>
    <r>
      <rPr>
        <sz val="10"/>
        <rFont val="宋体"/>
        <charset val="134"/>
      </rPr>
      <t>万元。</t>
    </r>
  </si>
  <si>
    <t>绿化养护维护经费</t>
  </si>
  <si>
    <r>
      <rPr>
        <sz val="10"/>
        <rFont val="宋体"/>
        <charset val="134"/>
      </rPr>
      <t>生命通道沿线道路绿化养护维护</t>
    </r>
    <r>
      <rPr>
        <sz val="10"/>
        <rFont val="Times New Roman"/>
        <charset val="0"/>
      </rPr>
      <t>203.84</t>
    </r>
    <r>
      <rPr>
        <sz val="10"/>
        <rFont val="宋体"/>
        <charset val="134"/>
      </rPr>
      <t>万元，老城区绿化养护维护</t>
    </r>
    <r>
      <rPr>
        <sz val="10"/>
        <rFont val="Times New Roman"/>
        <charset val="0"/>
      </rPr>
      <t>348.95</t>
    </r>
    <r>
      <rPr>
        <sz val="10"/>
        <rFont val="宋体"/>
        <charset val="134"/>
      </rPr>
      <t>万元。</t>
    </r>
  </si>
  <si>
    <t>绿化民生服务经费</t>
  </si>
  <si>
    <t>白蚁综合治理经费</t>
  </si>
  <si>
    <t>购买服务经费</t>
  </si>
  <si>
    <t>绿化提质专项</t>
  </si>
  <si>
    <t>辖区内绿化提质60万，零星补栽50万，绿化垃圾处置35万，园林设施维修15万。</t>
  </si>
  <si>
    <t>213</t>
  </si>
  <si>
    <t>禁渔及畜禽疫病防控专项</t>
  </si>
  <si>
    <r>
      <rPr>
        <sz val="10"/>
        <rFont val="宋体"/>
        <charset val="134"/>
      </rPr>
      <t>退捕渔民社保补贴93.31万元、畜禽无害化处理</t>
    </r>
    <r>
      <rPr>
        <sz val="10"/>
        <rFont val="Times New Roman"/>
        <charset val="134"/>
      </rPr>
      <t>34.5</t>
    </r>
    <r>
      <rPr>
        <sz val="10"/>
        <rFont val="宋体"/>
        <charset val="134"/>
      </rPr>
      <t>万元及畜禽疫病防控</t>
    </r>
    <r>
      <rPr>
        <sz val="10"/>
        <rFont val="Times New Roman"/>
        <charset val="134"/>
      </rPr>
      <t>20</t>
    </r>
    <r>
      <rPr>
        <sz val="10"/>
        <rFont val="宋体"/>
        <charset val="134"/>
      </rPr>
      <t>万元。</t>
    </r>
    <r>
      <rPr>
        <sz val="10"/>
        <rFont val="Times New Roman"/>
        <charset val="134"/>
      </rPr>
      <t>(</t>
    </r>
    <r>
      <rPr>
        <sz val="10"/>
        <rFont val="宋体"/>
        <charset val="134"/>
      </rPr>
      <t>上年预留抗疫国债265万元）</t>
    </r>
  </si>
  <si>
    <t>农业保险及巨灾保险</t>
  </si>
  <si>
    <t>水稻、育肥猪、能繁母猪农业保险及巨灾保险</t>
  </si>
  <si>
    <r>
      <rPr>
        <sz val="10"/>
        <rFont val="宋体"/>
        <charset val="134"/>
      </rPr>
      <t>农村人居环境整治经费</t>
    </r>
    <r>
      <rPr>
        <sz val="10"/>
        <rFont val="Times New Roman"/>
        <charset val="134"/>
      </rPr>
      <t xml:space="preserve"> </t>
    </r>
  </si>
  <si>
    <r>
      <rPr>
        <sz val="10"/>
        <rFont val="宋体"/>
        <charset val="134"/>
      </rPr>
      <t>农村生活垃圾分类</t>
    </r>
    <r>
      <rPr>
        <sz val="10"/>
        <rFont val="Times New Roman"/>
        <charset val="134"/>
      </rPr>
      <t>70</t>
    </r>
    <r>
      <rPr>
        <sz val="10"/>
        <rFont val="宋体"/>
        <charset val="134"/>
      </rPr>
      <t>万元、改新建无害化卫生厕所</t>
    </r>
    <r>
      <rPr>
        <sz val="10"/>
        <rFont val="Times New Roman"/>
        <charset val="134"/>
      </rPr>
      <t>80</t>
    </r>
    <r>
      <rPr>
        <sz val="10"/>
        <rFont val="宋体"/>
        <charset val="134"/>
      </rPr>
      <t>万元、人居环境整治工作及奖励经费</t>
    </r>
    <r>
      <rPr>
        <sz val="10"/>
        <rFont val="Times New Roman"/>
        <charset val="134"/>
      </rPr>
      <t>30</t>
    </r>
    <r>
      <rPr>
        <sz val="10"/>
        <rFont val="宋体"/>
        <charset val="134"/>
      </rPr>
      <t>万元。</t>
    </r>
  </si>
  <si>
    <t>农机经费</t>
  </si>
  <si>
    <r>
      <rPr>
        <sz val="10"/>
        <rFont val="宋体"/>
        <charset val="134"/>
      </rPr>
      <t>农村机耕道</t>
    </r>
    <r>
      <rPr>
        <sz val="10"/>
        <rFont val="Times New Roman"/>
        <charset val="0"/>
      </rPr>
      <t>30</t>
    </r>
    <r>
      <rPr>
        <sz val="10"/>
        <rFont val="宋体"/>
        <charset val="134"/>
      </rPr>
      <t>万元</t>
    </r>
    <r>
      <rPr>
        <sz val="10"/>
        <rFont val="Times New Roman"/>
        <charset val="0"/>
      </rPr>
      <t xml:space="preserve"> </t>
    </r>
    <r>
      <rPr>
        <sz val="10"/>
        <rFont val="宋体"/>
        <charset val="134"/>
      </rPr>
      <t>、扶持农机合作社</t>
    </r>
    <r>
      <rPr>
        <sz val="10"/>
        <rFont val="Times New Roman"/>
        <charset val="0"/>
      </rPr>
      <t>5</t>
    </r>
    <r>
      <rPr>
        <sz val="10"/>
        <rFont val="宋体"/>
        <charset val="134"/>
      </rPr>
      <t>万元、农机工作经费</t>
    </r>
    <r>
      <rPr>
        <sz val="10"/>
        <rFont val="Times New Roman"/>
        <charset val="0"/>
      </rPr>
      <t>3</t>
    </r>
    <r>
      <rPr>
        <sz val="10"/>
        <rFont val="宋体"/>
        <charset val="134"/>
      </rPr>
      <t>万元。</t>
    </r>
  </si>
  <si>
    <t>农村产权制度改革专项</t>
  </si>
  <si>
    <r>
      <rPr>
        <sz val="10"/>
        <rFont val="宋体"/>
        <charset val="134"/>
      </rPr>
      <t>农村宅基地</t>
    </r>
    <r>
      <rPr>
        <sz val="10"/>
        <rFont val="Times New Roman"/>
        <charset val="134"/>
      </rPr>
      <t>3</t>
    </r>
    <r>
      <rPr>
        <sz val="10"/>
        <rFont val="宋体"/>
        <charset val="134"/>
      </rPr>
      <t>万元，农村土地承包经营纠纷调解仲裁</t>
    </r>
    <r>
      <rPr>
        <sz val="10"/>
        <rFont val="Times New Roman"/>
        <charset val="134"/>
      </rPr>
      <t>2</t>
    </r>
    <r>
      <rPr>
        <sz val="10"/>
        <rFont val="宋体"/>
        <charset val="134"/>
      </rPr>
      <t>万元，产权制度改革</t>
    </r>
    <r>
      <rPr>
        <sz val="10"/>
        <rFont val="Times New Roman"/>
        <charset val="134"/>
      </rPr>
      <t>35</t>
    </r>
    <r>
      <rPr>
        <sz val="10"/>
        <rFont val="宋体"/>
        <charset val="134"/>
      </rPr>
      <t>万元。</t>
    </r>
  </si>
  <si>
    <t>耕地保护及农产品质量安全经费</t>
  </si>
  <si>
    <r>
      <rPr>
        <sz val="10"/>
        <rFont val="宋体"/>
        <charset val="134"/>
      </rPr>
      <t>定量检测费</t>
    </r>
    <r>
      <rPr>
        <sz val="10"/>
        <rFont val="Times New Roman"/>
        <charset val="134"/>
      </rPr>
      <t>20</t>
    </r>
    <r>
      <rPr>
        <sz val="10"/>
        <rFont val="宋体"/>
        <charset val="134"/>
      </rPr>
      <t>万元、安全溯源码设备补贴及合格证印刷</t>
    </r>
    <r>
      <rPr>
        <sz val="10"/>
        <rFont val="Times New Roman"/>
        <charset val="134"/>
      </rPr>
      <t>10</t>
    </r>
    <r>
      <rPr>
        <sz val="10"/>
        <rFont val="宋体"/>
        <charset val="134"/>
      </rPr>
      <t>万元。</t>
    </r>
  </si>
  <si>
    <t>扶贫专项</t>
  </si>
  <si>
    <r>
      <rPr>
        <sz val="10"/>
        <rFont val="宋体"/>
        <charset val="134"/>
      </rPr>
      <t>脱贫</t>
    </r>
    <r>
      <rPr>
        <sz val="10"/>
        <rFont val="Times New Roman"/>
        <charset val="134"/>
      </rPr>
      <t>“</t>
    </r>
    <r>
      <rPr>
        <sz val="10"/>
        <rFont val="宋体"/>
        <charset val="134"/>
      </rPr>
      <t>回头看</t>
    </r>
    <r>
      <rPr>
        <sz val="10"/>
        <rFont val="Times New Roman"/>
        <charset val="134"/>
      </rPr>
      <t>”20</t>
    </r>
    <r>
      <rPr>
        <sz val="10"/>
        <rFont val="宋体"/>
        <charset val="134"/>
      </rPr>
      <t>万元，农村边缘户危房改造</t>
    </r>
    <r>
      <rPr>
        <sz val="10"/>
        <rFont val="Times New Roman"/>
        <charset val="134"/>
      </rPr>
      <t>40</t>
    </r>
    <r>
      <rPr>
        <sz val="10"/>
        <rFont val="宋体"/>
        <charset val="134"/>
      </rPr>
      <t>万元。</t>
    </r>
  </si>
  <si>
    <t>村庄规划经费</t>
  </si>
  <si>
    <t>河长制专项</t>
  </si>
  <si>
    <r>
      <rPr>
        <sz val="10"/>
        <rFont val="宋体"/>
        <charset val="134"/>
      </rPr>
      <t>内河保洁</t>
    </r>
    <r>
      <rPr>
        <sz val="10"/>
        <rFont val="Times New Roman"/>
        <charset val="134"/>
      </rPr>
      <t>45</t>
    </r>
    <r>
      <rPr>
        <sz val="10"/>
        <rFont val="宋体"/>
        <charset val="134"/>
      </rPr>
      <t>万元、湘江保洁</t>
    </r>
    <r>
      <rPr>
        <sz val="10"/>
        <rFont val="Times New Roman"/>
        <charset val="134"/>
      </rPr>
      <t>75.31</t>
    </r>
    <r>
      <rPr>
        <sz val="10"/>
        <rFont val="宋体"/>
        <charset val="134"/>
      </rPr>
      <t>万元、河长制工作经费</t>
    </r>
    <r>
      <rPr>
        <sz val="10"/>
        <rFont val="Times New Roman"/>
        <charset val="134"/>
      </rPr>
      <t>36</t>
    </r>
    <r>
      <rPr>
        <sz val="10"/>
        <rFont val="宋体"/>
        <charset val="134"/>
      </rPr>
      <t>万元、河湖岸线保护与利用规划编制</t>
    </r>
    <r>
      <rPr>
        <sz val="10"/>
        <rFont val="Times New Roman"/>
        <charset val="134"/>
      </rPr>
      <t>15</t>
    </r>
    <r>
      <rPr>
        <sz val="10"/>
        <rFont val="宋体"/>
        <charset val="134"/>
      </rPr>
      <t>万元、河湖划界</t>
    </r>
    <r>
      <rPr>
        <sz val="10"/>
        <rFont val="Times New Roman"/>
        <charset val="134"/>
      </rPr>
      <t>30</t>
    </r>
    <r>
      <rPr>
        <sz val="10"/>
        <rFont val="宋体"/>
        <charset val="134"/>
      </rPr>
      <t>万元、一河一策编制</t>
    </r>
    <r>
      <rPr>
        <sz val="10"/>
        <rFont val="Times New Roman"/>
        <charset val="134"/>
      </rPr>
      <t>28</t>
    </r>
    <r>
      <rPr>
        <sz val="10"/>
        <rFont val="宋体"/>
        <charset val="134"/>
      </rPr>
      <t>万元、智慧河湖建设</t>
    </r>
    <r>
      <rPr>
        <sz val="10"/>
        <rFont val="Times New Roman"/>
        <charset val="134"/>
      </rPr>
      <t>40</t>
    </r>
    <r>
      <rPr>
        <sz val="10"/>
        <rFont val="宋体"/>
        <charset val="134"/>
      </rPr>
      <t>万元。</t>
    </r>
  </si>
  <si>
    <t>水利建设专项</t>
  </si>
  <si>
    <t>老虎堤整治370.31万元，关口山（玉泉段）河道整治180万元，大京电站压力管改造75万元（预留抗疫国债757万元）。水库安全鉴定20.2万元、水库渠道项目前期2.2万元、渡槽拆除40万元、大京水厂管网延伸工程和并网工程128.25万元（2020年一般债190.66万元）。</t>
  </si>
  <si>
    <t>水利设施运转维护经费</t>
  </si>
  <si>
    <r>
      <rPr>
        <sz val="10"/>
        <rFont val="宋体"/>
        <charset val="134"/>
      </rPr>
      <t>堤坝管养</t>
    </r>
    <r>
      <rPr>
        <sz val="10"/>
        <rFont val="Times New Roman"/>
        <charset val="134"/>
      </rPr>
      <t>50</t>
    </r>
    <r>
      <rPr>
        <sz val="10"/>
        <rFont val="宋体"/>
        <charset val="134"/>
      </rPr>
      <t>万元、友谊水库降等论证报告</t>
    </r>
    <r>
      <rPr>
        <sz val="10"/>
        <rFont val="Times New Roman"/>
        <charset val="134"/>
      </rPr>
      <t>4.8</t>
    </r>
    <r>
      <rPr>
        <sz val="10"/>
        <rFont val="宋体"/>
        <charset val="134"/>
      </rPr>
      <t>万元、水旱灾害防御（含水文监测）</t>
    </r>
    <r>
      <rPr>
        <sz val="10"/>
        <rFont val="Times New Roman"/>
        <charset val="134"/>
      </rPr>
      <t>20</t>
    </r>
    <r>
      <rPr>
        <sz val="10"/>
        <rFont val="宋体"/>
        <charset val="134"/>
      </rPr>
      <t>万元。</t>
    </r>
  </si>
  <si>
    <t>220</t>
  </si>
  <si>
    <t>土地利用节约集约用地工作经费</t>
  </si>
  <si>
    <t>乱占耕地建房问题摸排经费</t>
  </si>
  <si>
    <t>污染防治及普查经费</t>
  </si>
  <si>
    <t>大气污染防治工作经费5万元，污染源普查经费18万元。</t>
  </si>
  <si>
    <t>消防装备经费</t>
  </si>
  <si>
    <t>白关消防站设施购置经费。</t>
  </si>
  <si>
    <t>林业专项</t>
  </si>
  <si>
    <t>森林植被恢复费和上级专项统筹安排。3.12全民义务植树，护林员补助，营造油茶林、古树名木维护管理.保险费项目95.2万元，森林督查一张图、天然林保护工程47万元，松线病虫害控制122.39万元，防火隔离体系建设经费80万元，设施农业用地上图入库52万元，农村道路绿化35.5万元。</t>
  </si>
  <si>
    <t>政府一般债券利息</t>
  </si>
  <si>
    <t>227</t>
  </si>
  <si>
    <t>预备费</t>
  </si>
  <si>
    <t>非税收入执收成本</t>
  </si>
  <si>
    <t>中国共产党株洲市芦淞区纪律检查委员会</t>
  </si>
  <si>
    <t>人员经费</t>
  </si>
  <si>
    <t>运转类</t>
  </si>
  <si>
    <t>机关运行经费</t>
  </si>
  <si>
    <t>含公车补助、党建经费、工会福利费、体检费、机关单位独生子女父母补助、离退休干部公用经费、文明单位奖励。</t>
  </si>
  <si>
    <t>巡察专项经费</t>
  </si>
  <si>
    <t>中共株洲市芦淞区委办公室</t>
  </si>
  <si>
    <t>公务用车运行维护费</t>
  </si>
  <si>
    <t>区委办业务性经费</t>
  </si>
  <si>
    <t>含绩效评估、督查、会议、保密、深化改革等综合业务及保综网建设。</t>
  </si>
  <si>
    <t>中国共产党株洲市芦淞区委员会组织部</t>
  </si>
  <si>
    <t>老干工作经费</t>
  </si>
  <si>
    <r>
      <rPr>
        <sz val="10"/>
        <rFont val="宋体"/>
        <charset val="134"/>
      </rPr>
      <t>老干政策性经费</t>
    </r>
    <r>
      <rPr>
        <sz val="10"/>
        <rFont val="Times New Roman"/>
        <charset val="134"/>
      </rPr>
      <t>44</t>
    </r>
    <r>
      <rPr>
        <sz val="10"/>
        <rFont val="宋体"/>
        <charset val="134"/>
      </rPr>
      <t>万元，老干慰问费</t>
    </r>
    <r>
      <rPr>
        <sz val="10"/>
        <rFont val="Times New Roman"/>
        <charset val="134"/>
      </rPr>
      <t>30.58</t>
    </r>
    <r>
      <rPr>
        <sz val="10"/>
        <rFont val="宋体"/>
        <charset val="134"/>
      </rPr>
      <t>万元，五老组织工作经费9万元（3万元/个），其他老干服务及活动经费22万元，关心下一代基金5万元。</t>
    </r>
  </si>
  <si>
    <t>中国共产党株洲市芦淞区委员会宣传部</t>
  </si>
  <si>
    <t>中国共产党株洲市芦淞区委员会统战部</t>
  </si>
  <si>
    <t>统战特别经费</t>
  </si>
  <si>
    <t>含专项工作。</t>
  </si>
  <si>
    <t>中国共产党株洲市芦淞区政法委员会</t>
  </si>
  <si>
    <t>36</t>
  </si>
  <si>
    <t>信访岗位津贴</t>
  </si>
  <si>
    <t>中共株洲市芦淞区委机构编制委员会办公室</t>
  </si>
  <si>
    <t>统一社会信用代码和域名管理</t>
  </si>
  <si>
    <t>中国共产主义青年团株洲市芦淞区委员会</t>
  </si>
  <si>
    <t>株洲市芦淞区人民代表大会常务委员会</t>
  </si>
  <si>
    <t>人大代表履职经费</t>
  </si>
  <si>
    <r>
      <rPr>
        <sz val="10"/>
        <rFont val="Times New Roman"/>
        <charset val="0"/>
      </rPr>
      <t>173</t>
    </r>
    <r>
      <rPr>
        <sz val="10"/>
        <rFont val="宋体"/>
        <charset val="0"/>
      </rPr>
      <t>名代表</t>
    </r>
  </si>
  <si>
    <t>人代会议经费</t>
  </si>
  <si>
    <t>按代表、特邀、列席、工作人员人数和标准据实安排</t>
  </si>
  <si>
    <t>预算审查经费</t>
  </si>
  <si>
    <t>株洲市芦淞区人民政府办公室</t>
  </si>
  <si>
    <t>政府办业务经费</t>
  </si>
  <si>
    <t>含督查、会议、优化、建议提案办理、值班室经费。</t>
  </si>
  <si>
    <t>挂职干部经费</t>
  </si>
  <si>
    <t>中国人民政治协商会议湖南省株洲市芦淞区委员会</t>
  </si>
  <si>
    <t>政协全会工作经费</t>
  </si>
  <si>
    <t>政协委员履职经费</t>
  </si>
  <si>
    <t>株洲市芦淞区发展和改革局</t>
  </si>
  <si>
    <t>50</t>
  </si>
  <si>
    <t>发改综合业务经费</t>
  </si>
  <si>
    <t>含节能、物价、产业项目前期及管理经费。</t>
  </si>
  <si>
    <t>株洲市芦淞区科技和工业信息化局</t>
  </si>
  <si>
    <t>推进新型工业化工作经费</t>
  </si>
  <si>
    <t>三供一业工作经费</t>
  </si>
  <si>
    <t>株洲市芦淞区财政局</t>
  </si>
  <si>
    <t>财政管理专项</t>
  </si>
  <si>
    <t>含法律顾问、财务检查、造价咨询、绩效管理委托业务。</t>
  </si>
  <si>
    <t>株洲市芦淞区审计局</t>
  </si>
  <si>
    <t>审计项目业务经费</t>
  </si>
  <si>
    <t>株洲市芦淞区人力资源和社会保障局</t>
  </si>
  <si>
    <t>人社综合业务经费</t>
  </si>
  <si>
    <r>
      <rPr>
        <sz val="10"/>
        <rFont val="宋体"/>
        <charset val="0"/>
      </rPr>
      <t>劳动监察执法经费</t>
    </r>
    <r>
      <rPr>
        <sz val="10"/>
        <rFont val="Times New Roman"/>
        <charset val="0"/>
      </rPr>
      <t>10.5</t>
    </r>
    <r>
      <rPr>
        <sz val="10"/>
        <rFont val="宋体"/>
        <charset val="0"/>
      </rPr>
      <t>万元、社保征缴扩面经费</t>
    </r>
    <r>
      <rPr>
        <sz val="10"/>
        <rFont val="Times New Roman"/>
        <charset val="0"/>
      </rPr>
      <t>30</t>
    </r>
    <r>
      <rPr>
        <sz val="10"/>
        <rFont val="宋体"/>
        <charset val="0"/>
      </rPr>
      <t>万元、人社平台经费</t>
    </r>
    <r>
      <rPr>
        <sz val="10"/>
        <rFont val="Times New Roman"/>
        <charset val="0"/>
      </rPr>
      <t>24</t>
    </r>
    <r>
      <rPr>
        <sz val="10"/>
        <rFont val="宋体"/>
        <charset val="0"/>
      </rPr>
      <t>万元、民生</t>
    </r>
    <r>
      <rPr>
        <sz val="10"/>
        <rFont val="Times New Roman"/>
        <charset val="0"/>
      </rPr>
      <t>100</t>
    </r>
    <r>
      <rPr>
        <sz val="10"/>
        <rFont val="宋体"/>
        <charset val="0"/>
      </rPr>
      <t>工作经费</t>
    </r>
    <r>
      <rPr>
        <sz val="10"/>
        <rFont val="Times New Roman"/>
        <charset val="0"/>
      </rPr>
      <t>6.75</t>
    </r>
    <r>
      <rPr>
        <sz val="10"/>
        <rFont val="宋体"/>
        <charset val="0"/>
      </rPr>
      <t>万元，招考及人事人才经费</t>
    </r>
    <r>
      <rPr>
        <sz val="10"/>
        <rFont val="Times New Roman"/>
        <charset val="0"/>
      </rPr>
      <t>14</t>
    </r>
    <r>
      <rPr>
        <sz val="10"/>
        <rFont val="宋体"/>
        <charset val="0"/>
      </rPr>
      <t>万元。</t>
    </r>
  </si>
  <si>
    <t>株洲市芦淞区商务和粮食局</t>
  </si>
  <si>
    <t>株洲市芦淞区司法局</t>
  </si>
  <si>
    <t>株洲市芦淞区文化旅游体育局</t>
  </si>
  <si>
    <t>株洲市芦淞区应急管理局</t>
  </si>
  <si>
    <t>株洲市芦淞区信访局</t>
  </si>
  <si>
    <t>株洲市芦淞区统计局</t>
  </si>
  <si>
    <t>株洲市芦淞区市场监督管理局</t>
  </si>
  <si>
    <t>物管伙食费</t>
  </si>
  <si>
    <t>株洲市芦淞区退役军人事务局</t>
  </si>
  <si>
    <t>物管费</t>
  </si>
  <si>
    <t>株洲市芦淞区行政审批服务局</t>
  </si>
  <si>
    <t>政务公开及政府门户网站建设经费</t>
  </si>
  <si>
    <r>
      <rPr>
        <sz val="10"/>
        <rFont val="宋体"/>
        <charset val="134"/>
      </rPr>
      <t>政府门户网站运维</t>
    </r>
    <r>
      <rPr>
        <sz val="10"/>
        <rFont val="Times New Roman"/>
        <charset val="134"/>
      </rPr>
      <t>22.23</t>
    </r>
    <r>
      <rPr>
        <sz val="10"/>
        <rFont val="宋体"/>
        <charset val="134"/>
      </rPr>
      <t>万元，政务公开经费</t>
    </r>
    <r>
      <rPr>
        <sz val="10"/>
        <rFont val="Times New Roman"/>
        <charset val="134"/>
      </rPr>
      <t>8</t>
    </r>
    <r>
      <rPr>
        <sz val="10"/>
        <rFont val="宋体"/>
        <charset val="134"/>
      </rPr>
      <t>万元。</t>
    </r>
  </si>
  <si>
    <t>政务信息化网络租赁及维护经费</t>
  </si>
  <si>
    <r>
      <rPr>
        <sz val="10"/>
        <rFont val="宋体"/>
        <charset val="134"/>
      </rPr>
      <t>各网络专线及续保合同费用</t>
    </r>
    <r>
      <rPr>
        <sz val="10"/>
        <rFont val="Times New Roman"/>
        <charset val="0"/>
      </rPr>
      <t>123.2</t>
    </r>
    <r>
      <rPr>
        <sz val="10"/>
        <rFont val="宋体"/>
        <charset val="134"/>
      </rPr>
      <t>万元，硬软件升级费用</t>
    </r>
    <r>
      <rPr>
        <sz val="10"/>
        <rFont val="Times New Roman"/>
        <charset val="0"/>
      </rPr>
      <t>5.1</t>
    </r>
    <r>
      <rPr>
        <sz val="10"/>
        <rFont val="宋体"/>
        <charset val="134"/>
      </rPr>
      <t>万元，无线扩展</t>
    </r>
    <r>
      <rPr>
        <sz val="10"/>
        <rFont val="Times New Roman"/>
        <charset val="0"/>
      </rPr>
      <t>20</t>
    </r>
    <r>
      <rPr>
        <sz val="10"/>
        <rFont val="宋体"/>
        <charset val="134"/>
      </rPr>
      <t>万元，交换机更换</t>
    </r>
    <r>
      <rPr>
        <sz val="10"/>
        <rFont val="Times New Roman"/>
        <charset val="0"/>
      </rPr>
      <t>10</t>
    </r>
    <r>
      <rPr>
        <sz val="10"/>
        <rFont val="宋体"/>
        <charset val="134"/>
      </rPr>
      <t>万（分</t>
    </r>
    <r>
      <rPr>
        <sz val="10"/>
        <rFont val="Times New Roman"/>
        <charset val="0"/>
      </rPr>
      <t>4</t>
    </r>
    <r>
      <rPr>
        <sz val="10"/>
        <rFont val="宋体"/>
        <charset val="134"/>
      </rPr>
      <t>年</t>
    </r>
    <r>
      <rPr>
        <sz val="10"/>
        <rFont val="Times New Roman"/>
        <charset val="0"/>
      </rPr>
      <t>)</t>
    </r>
    <r>
      <rPr>
        <sz val="10"/>
        <rFont val="宋体"/>
        <charset val="134"/>
      </rPr>
      <t>，维修维护</t>
    </r>
    <r>
      <rPr>
        <sz val="10"/>
        <rFont val="Times New Roman"/>
        <charset val="0"/>
      </rPr>
      <t>45</t>
    </r>
    <r>
      <rPr>
        <sz val="10"/>
        <rFont val="宋体"/>
        <charset val="134"/>
      </rPr>
      <t>万元。</t>
    </r>
  </si>
  <si>
    <t>株洲市芦淞区交通运输局</t>
  </si>
  <si>
    <t>株洲市芦淞区医疗保障局</t>
  </si>
  <si>
    <t>株洲市芦淞区政府研究和金融工作办公室</t>
  </si>
  <si>
    <t>株洲国家高新区董家塅高科技工业园管理委员会</t>
  </si>
  <si>
    <r>
      <rPr>
        <sz val="10"/>
        <rFont val="宋体"/>
        <charset val="134"/>
      </rPr>
      <t>物业</t>
    </r>
    <r>
      <rPr>
        <sz val="10"/>
        <rFont val="Times New Roman"/>
        <charset val="134"/>
      </rPr>
      <t>10</t>
    </r>
    <r>
      <rPr>
        <sz val="10"/>
        <rFont val="宋体"/>
        <charset val="134"/>
      </rPr>
      <t>万元，伙食</t>
    </r>
    <r>
      <rPr>
        <sz val="10"/>
        <rFont val="Times New Roman"/>
        <charset val="134"/>
      </rPr>
      <t>22.8</t>
    </r>
    <r>
      <rPr>
        <sz val="10"/>
        <rFont val="宋体"/>
        <charset val="134"/>
      </rPr>
      <t>万元</t>
    </r>
  </si>
  <si>
    <t>株洲市芦淞区航空产业服务中心</t>
  </si>
  <si>
    <t>株洲市芦淞区文化馆</t>
  </si>
  <si>
    <t>文化馆免费开放经费</t>
  </si>
  <si>
    <t>株洲市芦淞区市场服务中心</t>
  </si>
  <si>
    <t>市场群综合党委工作经费</t>
  </si>
  <si>
    <t>市场群专职消防队经费</t>
  </si>
  <si>
    <r>
      <rPr>
        <sz val="10"/>
        <rFont val="Times New Roman"/>
        <charset val="0"/>
      </rPr>
      <t>20</t>
    </r>
    <r>
      <rPr>
        <sz val="10"/>
        <rFont val="宋体"/>
        <charset val="134"/>
      </rPr>
      <t>人，</t>
    </r>
    <r>
      <rPr>
        <sz val="10"/>
        <rFont val="Times New Roman"/>
        <charset val="0"/>
      </rPr>
      <t>5.77</t>
    </r>
    <r>
      <rPr>
        <sz val="10"/>
        <rFont val="宋体"/>
        <charset val="134"/>
      </rPr>
      <t>万元</t>
    </r>
    <r>
      <rPr>
        <sz val="10"/>
        <rFont val="Times New Roman"/>
        <charset val="0"/>
      </rPr>
      <t>/</t>
    </r>
    <r>
      <rPr>
        <sz val="10"/>
        <rFont val="宋体"/>
        <charset val="134"/>
      </rPr>
      <t>人。</t>
    </r>
  </si>
  <si>
    <t>市场群综治大队经费</t>
  </si>
  <si>
    <r>
      <rPr>
        <sz val="10"/>
        <rFont val="Times New Roman"/>
        <charset val="0"/>
      </rPr>
      <t>26</t>
    </r>
    <r>
      <rPr>
        <sz val="10"/>
        <rFont val="宋体"/>
        <charset val="134"/>
      </rPr>
      <t>人，</t>
    </r>
    <r>
      <rPr>
        <sz val="10"/>
        <rFont val="Times New Roman"/>
        <charset val="0"/>
      </rPr>
      <t>4</t>
    </r>
    <r>
      <rPr>
        <sz val="10"/>
        <rFont val="宋体"/>
        <charset val="134"/>
      </rPr>
      <t>万元</t>
    </r>
    <r>
      <rPr>
        <sz val="10"/>
        <rFont val="Times New Roman"/>
        <charset val="0"/>
      </rPr>
      <t>/</t>
    </r>
    <r>
      <rPr>
        <sz val="10"/>
        <rFont val="宋体"/>
        <charset val="134"/>
      </rPr>
      <t>人</t>
    </r>
  </si>
  <si>
    <t>市场群综合治理经费</t>
  </si>
  <si>
    <t>株洲市芦淞区机关事务服务中心</t>
  </si>
  <si>
    <t>公车平台经费</t>
  </si>
  <si>
    <r>
      <rPr>
        <sz val="10"/>
        <rFont val="宋体"/>
        <charset val="0"/>
      </rPr>
      <t>公车运维</t>
    </r>
    <r>
      <rPr>
        <sz val="10"/>
        <rFont val="Times New Roman"/>
        <charset val="0"/>
      </rPr>
      <t>3</t>
    </r>
    <r>
      <rPr>
        <sz val="10"/>
        <rFont val="宋体"/>
        <charset val="0"/>
      </rPr>
      <t>万元</t>
    </r>
    <r>
      <rPr>
        <sz val="10"/>
        <rFont val="Times New Roman"/>
        <charset val="0"/>
      </rPr>
      <t>/</t>
    </r>
    <r>
      <rPr>
        <sz val="10"/>
        <rFont val="宋体"/>
        <charset val="0"/>
      </rPr>
      <t>辆，</t>
    </r>
    <r>
      <rPr>
        <sz val="10"/>
        <rFont val="Times New Roman"/>
        <charset val="0"/>
      </rPr>
      <t>29</t>
    </r>
    <r>
      <rPr>
        <sz val="10"/>
        <rFont val="宋体"/>
        <charset val="0"/>
      </rPr>
      <t>辆；劳务费</t>
    </r>
    <r>
      <rPr>
        <sz val="10"/>
        <rFont val="Times New Roman"/>
        <charset val="0"/>
      </rPr>
      <t>5</t>
    </r>
    <r>
      <rPr>
        <sz val="10"/>
        <rFont val="宋体"/>
        <charset val="0"/>
      </rPr>
      <t>万元</t>
    </r>
    <r>
      <rPr>
        <sz val="10"/>
        <rFont val="Times New Roman"/>
        <charset val="0"/>
      </rPr>
      <t>/</t>
    </r>
    <r>
      <rPr>
        <sz val="10"/>
        <rFont val="宋体"/>
        <charset val="0"/>
      </rPr>
      <t>人，</t>
    </r>
    <r>
      <rPr>
        <sz val="10"/>
        <rFont val="Times New Roman"/>
        <charset val="0"/>
      </rPr>
      <t>25</t>
    </r>
    <r>
      <rPr>
        <sz val="10"/>
        <rFont val="宋体"/>
        <charset val="0"/>
      </rPr>
      <t>人；公车购置</t>
    </r>
    <r>
      <rPr>
        <sz val="10"/>
        <rFont val="Times New Roman"/>
        <charset val="0"/>
      </rPr>
      <t>18</t>
    </r>
    <r>
      <rPr>
        <sz val="10"/>
        <rFont val="宋体"/>
        <charset val="0"/>
      </rPr>
      <t>万元</t>
    </r>
    <r>
      <rPr>
        <sz val="10"/>
        <rFont val="Times New Roman"/>
        <charset val="0"/>
      </rPr>
      <t>/</t>
    </r>
    <r>
      <rPr>
        <sz val="10"/>
        <rFont val="宋体"/>
        <charset val="0"/>
      </rPr>
      <t>辆，</t>
    </r>
    <r>
      <rPr>
        <sz val="10"/>
        <rFont val="Times New Roman"/>
        <charset val="0"/>
      </rPr>
      <t>4</t>
    </r>
    <r>
      <rPr>
        <sz val="10"/>
        <rFont val="宋体"/>
        <charset val="0"/>
      </rPr>
      <t>辆；信息管理平台建设</t>
    </r>
    <r>
      <rPr>
        <sz val="10"/>
        <rFont val="Times New Roman"/>
        <charset val="0"/>
      </rPr>
      <t>2.5</t>
    </r>
    <r>
      <rPr>
        <sz val="10"/>
        <rFont val="宋体"/>
        <charset val="0"/>
      </rPr>
      <t>万；公用经费</t>
    </r>
    <r>
      <rPr>
        <sz val="10"/>
        <rFont val="Times New Roman"/>
        <charset val="0"/>
      </rPr>
      <t>12.5</t>
    </r>
    <r>
      <rPr>
        <sz val="10"/>
        <rFont val="宋体"/>
        <charset val="0"/>
      </rPr>
      <t>万元。</t>
    </r>
  </si>
  <si>
    <t>文印室经费</t>
  </si>
  <si>
    <t>接待经费</t>
  </si>
  <si>
    <t>机关运转经费</t>
  </si>
  <si>
    <t>株洲市芦淞区天泰能源退休人员服务中心</t>
  </si>
  <si>
    <t>改制企业留守机构专用经费</t>
  </si>
  <si>
    <t>株洲市芦淞区大京风景名胜区管理中心</t>
  </si>
  <si>
    <t>株洲市芦淞区优化营商环境协调事务中心</t>
  </si>
  <si>
    <t>优化营商环境工作考核测评经费</t>
  </si>
  <si>
    <t>含三年行动经费。</t>
  </si>
  <si>
    <t>株洲市芦淞区网格化管理服务中心</t>
  </si>
  <si>
    <t>株洲市芦淞区物业服务指导中心</t>
  </si>
  <si>
    <t>物业工作指导经费</t>
  </si>
  <si>
    <t>株洲市芦淞区征地工作协调服务中心</t>
  </si>
  <si>
    <t>株洲市芦淞区住房和城乡建设局</t>
  </si>
  <si>
    <t>203</t>
  </si>
  <si>
    <t>人防专项</t>
  </si>
  <si>
    <t>株洲市芦淞区城市管理和综合执法局</t>
  </si>
  <si>
    <t>株洲市芦淞区环境卫生服务中心</t>
  </si>
  <si>
    <t>垃圾清运及综合管理经费</t>
  </si>
  <si>
    <r>
      <rPr>
        <sz val="10"/>
        <rFont val="宋体"/>
        <charset val="134"/>
      </rPr>
      <t>非税收入执收成本用于垃圾清运市场化</t>
    </r>
    <r>
      <rPr>
        <sz val="10"/>
        <rFont val="Times New Roman"/>
        <charset val="0"/>
      </rPr>
      <t>261</t>
    </r>
    <r>
      <rPr>
        <sz val="10"/>
        <rFont val="宋体"/>
        <charset val="134"/>
      </rPr>
      <t>万元，弥补差额拨款人员经费</t>
    </r>
    <r>
      <rPr>
        <sz val="10"/>
        <rFont val="Times New Roman"/>
        <charset val="0"/>
      </rPr>
      <t>459</t>
    </r>
    <r>
      <rPr>
        <sz val="10"/>
        <rFont val="宋体"/>
        <charset val="134"/>
      </rPr>
      <t>万元。</t>
    </r>
  </si>
  <si>
    <t>株洲市芦淞区城市管理行政执法大队</t>
  </si>
  <si>
    <t>协管队员经费</t>
  </si>
  <si>
    <r>
      <rPr>
        <sz val="10"/>
        <rFont val="Times New Roman"/>
        <charset val="0"/>
      </rPr>
      <t>270</t>
    </r>
    <r>
      <rPr>
        <sz val="10"/>
        <rFont val="宋体"/>
        <charset val="0"/>
      </rPr>
      <t>人，</t>
    </r>
    <r>
      <rPr>
        <sz val="10"/>
        <rFont val="Times New Roman"/>
        <charset val="0"/>
      </rPr>
      <t>4.25</t>
    </r>
    <r>
      <rPr>
        <sz val="10"/>
        <rFont val="宋体"/>
        <charset val="0"/>
      </rPr>
      <t>万；另以协管队员补足</t>
    </r>
    <r>
      <rPr>
        <sz val="10"/>
        <rFont val="Times New Roman"/>
        <charset val="0"/>
      </rPr>
      <t>17</t>
    </r>
    <r>
      <rPr>
        <sz val="10"/>
        <rFont val="宋体"/>
        <charset val="0"/>
      </rPr>
      <t>个正式队员空缺</t>
    </r>
    <r>
      <rPr>
        <sz val="10"/>
        <rFont val="Times New Roman"/>
        <charset val="0"/>
      </rPr>
      <t>72.25</t>
    </r>
    <r>
      <rPr>
        <sz val="10"/>
        <rFont val="宋体"/>
        <charset val="0"/>
      </rPr>
      <t>万元。</t>
    </r>
  </si>
  <si>
    <t>株洲市芦淞区园林绿化中心</t>
  </si>
  <si>
    <t>绿化体制补助经费</t>
  </si>
  <si>
    <t>体制补助</t>
  </si>
  <si>
    <t>伙食费</t>
  </si>
  <si>
    <t>株洲市芦淞区总工会</t>
  </si>
  <si>
    <t>困难职工及劳模帮扶慰问经费</t>
  </si>
  <si>
    <r>
      <rPr>
        <sz val="10"/>
        <rFont val="宋体"/>
        <charset val="0"/>
      </rPr>
      <t>困难职工救助</t>
    </r>
    <r>
      <rPr>
        <sz val="10"/>
        <rFont val="Times New Roman"/>
        <charset val="0"/>
      </rPr>
      <t>5</t>
    </r>
    <r>
      <rPr>
        <sz val="10"/>
        <rFont val="宋体"/>
        <charset val="0"/>
      </rPr>
      <t>万元</t>
    </r>
    <r>
      <rPr>
        <sz val="10"/>
        <rFont val="Times New Roman"/>
        <charset val="0"/>
      </rPr>
      <t>,</t>
    </r>
    <r>
      <rPr>
        <sz val="10"/>
        <rFont val="宋体"/>
        <charset val="0"/>
      </rPr>
      <t>劳模、两节慰问</t>
    </r>
    <r>
      <rPr>
        <sz val="10"/>
        <rFont val="Times New Roman"/>
        <charset val="0"/>
      </rPr>
      <t>10</t>
    </r>
    <r>
      <rPr>
        <sz val="10"/>
        <rFont val="宋体"/>
        <charset val="0"/>
      </rPr>
      <t>万元。</t>
    </r>
  </si>
  <si>
    <t>株洲市芦淞区妇女联合会</t>
  </si>
  <si>
    <t>株洲市芦淞区工商业联合会</t>
  </si>
  <si>
    <t>民营企业工作经费</t>
  </si>
  <si>
    <t>株洲市芦淞区红十字会</t>
  </si>
  <si>
    <t>红十字会专项经费</t>
  </si>
  <si>
    <t>株洲市芦淞区残疾人联合会</t>
  </si>
  <si>
    <t>株洲市芦淞区科学技术协会</t>
  </si>
  <si>
    <t>株洲市芦淞区文学艺术界联合会</t>
  </si>
  <si>
    <t>文艺扶持专项</t>
  </si>
  <si>
    <t>株洲市芦淞区归国华侨联合会</t>
  </si>
  <si>
    <t>侨联工作经费</t>
  </si>
  <si>
    <t>株洲市芦淞区农业农村局</t>
  </si>
  <si>
    <t>株洲市芦淞区水利局</t>
  </si>
  <si>
    <t>株洲市芦淞区民政局</t>
  </si>
  <si>
    <t>民政管理事务经费</t>
  </si>
  <si>
    <t>株洲市芦淞区卫生健康局</t>
  </si>
  <si>
    <t>株洲市芦淞区疾病预防控制中心</t>
  </si>
  <si>
    <t>二类苗和学生体检</t>
  </si>
  <si>
    <t>株洲市芦淞区妇幼保健所</t>
  </si>
  <si>
    <t>托幼机构管理项目</t>
  </si>
  <si>
    <t>株洲市芦淞区卫生计生综合监督执法局</t>
  </si>
  <si>
    <t>公共卫生监督执法项目</t>
  </si>
  <si>
    <t>优先从非税资金列支</t>
  </si>
  <si>
    <t>株洲市芦淞区教育局</t>
  </si>
  <si>
    <t>株洲市芦淞区教育学校</t>
  </si>
  <si>
    <t>教师人员经费</t>
  </si>
  <si>
    <t>株洲市芦淞区龙泉街道办事处</t>
  </si>
  <si>
    <t>含公车补助、党建、工青妇建、创文经费、工会福利费、体检费、机关单位独生子女父母补助、离退休干部公用经费、文明单位奖励。</t>
  </si>
  <si>
    <t>株洲市芦淞区枫溪街道办事处</t>
  </si>
  <si>
    <t>株洲市芦淞区建宁街道办事处</t>
  </si>
  <si>
    <t>株洲市芦淞区建设街道办事处</t>
  </si>
  <si>
    <t>株洲市芦淞区贺家土街道办事处</t>
  </si>
  <si>
    <r>
      <rPr>
        <sz val="10"/>
        <rFont val="宋体"/>
        <charset val="134"/>
      </rPr>
      <t>绿化提质专项</t>
    </r>
    <r>
      <rPr>
        <sz val="10"/>
        <rFont val="Times New Roman"/>
        <charset val="0"/>
      </rPr>
      <t>-</t>
    </r>
    <r>
      <rPr>
        <sz val="10"/>
        <rFont val="宋体"/>
        <charset val="134"/>
      </rPr>
      <t>翠塘湖维护</t>
    </r>
  </si>
  <si>
    <t>株洲市芦凇区庆云街道办事处</t>
  </si>
  <si>
    <t>株洲市芦淞区董家塅街道办事处</t>
  </si>
  <si>
    <t>株洲市芦淞区白关镇人民政府</t>
  </si>
  <si>
    <t>株洲市芦淞区人民检察院</t>
  </si>
  <si>
    <t>株洲市芦淞区人民法院</t>
  </si>
  <si>
    <t>株洲市芦淞区公安消防大队</t>
  </si>
  <si>
    <t>株洲市芦淞区消防救援大队</t>
  </si>
  <si>
    <t>消防宣传外包经费</t>
  </si>
  <si>
    <t>消防用车经费</t>
  </si>
  <si>
    <t>消防车维护费。</t>
  </si>
  <si>
    <t>消防员专职人员经费</t>
  </si>
  <si>
    <r>
      <rPr>
        <sz val="10"/>
        <rFont val="宋体"/>
        <charset val="134"/>
      </rPr>
      <t>消防员</t>
    </r>
    <r>
      <rPr>
        <sz val="10"/>
        <rFont val="Times New Roman"/>
        <charset val="134"/>
      </rPr>
      <t>57</t>
    </r>
    <r>
      <rPr>
        <sz val="10"/>
        <rFont val="宋体"/>
        <charset val="134"/>
      </rPr>
      <t>人，</t>
    </r>
    <r>
      <rPr>
        <sz val="10"/>
        <rFont val="Times New Roman"/>
        <charset val="134"/>
      </rPr>
      <t>9</t>
    </r>
    <r>
      <rPr>
        <sz val="10"/>
        <rFont val="宋体"/>
        <charset val="134"/>
      </rPr>
      <t>万元</t>
    </r>
    <r>
      <rPr>
        <sz val="10"/>
        <rFont val="Times New Roman"/>
        <charset val="134"/>
      </rPr>
      <t>/</t>
    </r>
    <r>
      <rPr>
        <sz val="10"/>
        <rFont val="宋体"/>
        <charset val="134"/>
      </rPr>
      <t>人，专职消防员</t>
    </r>
    <r>
      <rPr>
        <sz val="10"/>
        <rFont val="Times New Roman"/>
        <charset val="134"/>
      </rPr>
      <t>36</t>
    </r>
    <r>
      <rPr>
        <sz val="10"/>
        <rFont val="宋体"/>
        <charset val="134"/>
      </rPr>
      <t>人，</t>
    </r>
    <r>
      <rPr>
        <sz val="10"/>
        <rFont val="Times New Roman"/>
        <charset val="134"/>
      </rPr>
      <t>7.2</t>
    </r>
    <r>
      <rPr>
        <sz val="10"/>
        <rFont val="宋体"/>
        <charset val="134"/>
      </rPr>
      <t>万元</t>
    </r>
    <r>
      <rPr>
        <sz val="10"/>
        <rFont val="Times New Roman"/>
        <charset val="134"/>
      </rPr>
      <t>/</t>
    </r>
    <r>
      <rPr>
        <sz val="10"/>
        <rFont val="宋体"/>
        <charset val="134"/>
      </rPr>
      <t>人。</t>
    </r>
  </si>
  <si>
    <t>株洲市公安局董家塅分局</t>
  </si>
  <si>
    <t>辅警经费</t>
  </si>
  <si>
    <r>
      <rPr>
        <sz val="10"/>
        <rFont val="宋体"/>
        <charset val="134"/>
      </rPr>
      <t>辅警</t>
    </r>
    <r>
      <rPr>
        <sz val="10"/>
        <rFont val="Times New Roman"/>
        <charset val="134"/>
      </rPr>
      <t>60</t>
    </r>
    <r>
      <rPr>
        <sz val="10"/>
        <rFont val="宋体"/>
        <charset val="134"/>
      </rPr>
      <t>人，</t>
    </r>
    <r>
      <rPr>
        <sz val="10"/>
        <rFont val="Times New Roman"/>
        <charset val="134"/>
      </rPr>
      <t>4</t>
    </r>
    <r>
      <rPr>
        <sz val="10"/>
        <rFont val="宋体"/>
        <charset val="134"/>
      </rPr>
      <t>万元</t>
    </r>
    <r>
      <rPr>
        <sz val="10"/>
        <rFont val="Times New Roman"/>
        <charset val="134"/>
      </rPr>
      <t>/</t>
    </r>
    <r>
      <rPr>
        <sz val="10"/>
        <rFont val="宋体"/>
        <charset val="134"/>
      </rPr>
      <t>人，巡防队员</t>
    </r>
    <r>
      <rPr>
        <sz val="10"/>
        <rFont val="Times New Roman"/>
        <charset val="134"/>
      </rPr>
      <t>19</t>
    </r>
    <r>
      <rPr>
        <sz val="10"/>
        <rFont val="宋体"/>
        <charset val="134"/>
      </rPr>
      <t>人，</t>
    </r>
    <r>
      <rPr>
        <sz val="10"/>
        <rFont val="Times New Roman"/>
        <charset val="134"/>
      </rPr>
      <t>3.6</t>
    </r>
    <r>
      <rPr>
        <sz val="10"/>
        <rFont val="宋体"/>
        <charset val="134"/>
      </rPr>
      <t>万元</t>
    </r>
    <r>
      <rPr>
        <sz val="10"/>
        <rFont val="Times New Roman"/>
        <charset val="134"/>
      </rPr>
      <t>/</t>
    </r>
    <r>
      <rPr>
        <sz val="10"/>
        <rFont val="宋体"/>
        <charset val="134"/>
      </rPr>
      <t>人，协管员</t>
    </r>
    <r>
      <rPr>
        <sz val="10"/>
        <rFont val="Times New Roman"/>
        <charset val="134"/>
      </rPr>
      <t>11</t>
    </r>
    <r>
      <rPr>
        <sz val="10"/>
        <rFont val="宋体"/>
        <charset val="134"/>
      </rPr>
      <t>人，</t>
    </r>
    <r>
      <rPr>
        <sz val="10"/>
        <rFont val="Times New Roman"/>
        <charset val="134"/>
      </rPr>
      <t>3</t>
    </r>
    <r>
      <rPr>
        <sz val="10"/>
        <rFont val="宋体"/>
        <charset val="134"/>
      </rPr>
      <t>万元</t>
    </r>
    <r>
      <rPr>
        <sz val="10"/>
        <rFont val="Times New Roman"/>
        <charset val="134"/>
      </rPr>
      <t>/</t>
    </r>
    <r>
      <rPr>
        <sz val="10"/>
        <rFont val="宋体"/>
        <charset val="134"/>
      </rPr>
      <t>人，公用经费</t>
    </r>
    <r>
      <rPr>
        <sz val="10"/>
        <rFont val="Times New Roman"/>
        <charset val="134"/>
      </rPr>
      <t>40</t>
    </r>
    <r>
      <rPr>
        <sz val="10"/>
        <rFont val="宋体"/>
        <charset val="134"/>
      </rPr>
      <t>万元。</t>
    </r>
  </si>
  <si>
    <t>株洲市公安局芦淞分局</t>
  </si>
  <si>
    <t>巡防协管员及公益性岗位人员经费</t>
  </si>
  <si>
    <r>
      <rPr>
        <sz val="10"/>
        <rFont val="宋体"/>
        <charset val="0"/>
      </rPr>
      <t>巡防队员</t>
    </r>
    <r>
      <rPr>
        <sz val="10"/>
        <rFont val="Times New Roman"/>
        <charset val="0"/>
      </rPr>
      <t>141</t>
    </r>
    <r>
      <rPr>
        <sz val="10"/>
        <rFont val="宋体"/>
        <charset val="0"/>
      </rPr>
      <t>人，3.6万元/人，协管员39人，3万元/人，公益性岗位2.34万元。</t>
    </r>
  </si>
  <si>
    <r>
      <rPr>
        <sz val="10"/>
        <rFont val="Times New Roman"/>
        <charset val="0"/>
      </rPr>
      <t>A</t>
    </r>
    <r>
      <rPr>
        <sz val="10"/>
        <rFont val="宋体"/>
        <charset val="134"/>
      </rPr>
      <t>类辅警</t>
    </r>
    <r>
      <rPr>
        <sz val="10"/>
        <rFont val="Times New Roman"/>
        <charset val="0"/>
      </rPr>
      <t>40</t>
    </r>
    <r>
      <rPr>
        <sz val="10"/>
        <rFont val="宋体"/>
        <charset val="134"/>
      </rPr>
      <t>人，</t>
    </r>
    <r>
      <rPr>
        <sz val="10"/>
        <rFont val="Times New Roman"/>
        <charset val="0"/>
      </rPr>
      <t>6.5</t>
    </r>
    <r>
      <rPr>
        <sz val="10"/>
        <rFont val="宋体"/>
        <charset val="134"/>
      </rPr>
      <t>万元</t>
    </r>
    <r>
      <rPr>
        <sz val="10"/>
        <rFont val="Times New Roman"/>
        <charset val="0"/>
      </rPr>
      <t>/</t>
    </r>
    <r>
      <rPr>
        <sz val="10"/>
        <rFont val="宋体"/>
        <charset val="134"/>
      </rPr>
      <t>人，</t>
    </r>
    <r>
      <rPr>
        <sz val="10"/>
        <rFont val="Times New Roman"/>
        <charset val="0"/>
      </rPr>
      <t>B</t>
    </r>
    <r>
      <rPr>
        <sz val="10"/>
        <rFont val="宋体"/>
        <charset val="134"/>
      </rPr>
      <t>类辅警</t>
    </r>
    <r>
      <rPr>
        <sz val="10"/>
        <rFont val="Times New Roman"/>
        <charset val="0"/>
      </rPr>
      <t>60</t>
    </r>
    <r>
      <rPr>
        <sz val="10"/>
        <rFont val="宋体"/>
        <charset val="134"/>
      </rPr>
      <t>人，</t>
    </r>
    <r>
      <rPr>
        <sz val="10"/>
        <rFont val="Times New Roman"/>
        <charset val="0"/>
      </rPr>
      <t>4</t>
    </r>
    <r>
      <rPr>
        <sz val="10"/>
        <rFont val="宋体"/>
        <charset val="134"/>
      </rPr>
      <t>万元</t>
    </r>
    <r>
      <rPr>
        <sz val="10"/>
        <rFont val="Times New Roman"/>
        <charset val="0"/>
      </rPr>
      <t>/</t>
    </r>
    <r>
      <rPr>
        <sz val="10"/>
        <rFont val="宋体"/>
        <charset val="134"/>
      </rPr>
      <t>人，公用经费</t>
    </r>
    <r>
      <rPr>
        <sz val="10"/>
        <rFont val="Times New Roman"/>
        <charset val="0"/>
      </rPr>
      <t>30</t>
    </r>
    <r>
      <rPr>
        <sz val="10"/>
        <rFont val="宋体"/>
        <charset val="134"/>
      </rPr>
      <t>万元。</t>
    </r>
  </si>
  <si>
    <t>附件4</t>
  </si>
  <si>
    <r>
      <rPr>
        <b/>
        <sz val="16"/>
        <rFont val="Times New Roman"/>
        <charset val="0"/>
      </rPr>
      <t>2021</t>
    </r>
    <r>
      <rPr>
        <b/>
        <sz val="16"/>
        <rFont val="宋体"/>
        <charset val="0"/>
      </rPr>
      <t>年一般公共预算本级支出表</t>
    </r>
  </si>
  <si>
    <t>附件5</t>
  </si>
  <si>
    <r>
      <rPr>
        <b/>
        <sz val="18"/>
        <rFont val="Times New Roman"/>
        <charset val="134"/>
      </rPr>
      <t>2021</t>
    </r>
    <r>
      <rPr>
        <b/>
        <sz val="18"/>
        <rFont val="宋体"/>
        <charset val="134"/>
      </rPr>
      <t>年芦淞区一般公共预算本级基本支出表－工资福利支出</t>
    </r>
  </si>
  <si>
    <t>总 计</t>
  </si>
  <si>
    <t>工资津补贴</t>
  </si>
  <si>
    <t>社会保障缴费</t>
  </si>
  <si>
    <t>住房公积金</t>
  </si>
  <si>
    <t>其他工资福利支出</t>
  </si>
  <si>
    <t>合计</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</si>
  <si>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</si>
  <si>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</si>
  <si>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</si>
  <si>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</si>
  <si>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</si>
  <si>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</si>
  <si>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</si>
  <si>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</si>
  <si>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</si>
  <si>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</si>
  <si>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</si>
  <si>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芦淞区</t>
  </si>
  <si>
    <r>
      <rPr>
        <sz val="10"/>
        <rFont val="宋体"/>
        <charset val="134"/>
      </rPr>
      <t>合计</t>
    </r>
  </si>
  <si>
    <t>附件6</t>
  </si>
  <si>
    <r>
      <rPr>
        <b/>
        <sz val="18"/>
        <color rgb="FF000000"/>
        <rFont val="Times New Roman"/>
        <charset val="134"/>
      </rPr>
      <t>2021</t>
    </r>
    <r>
      <rPr>
        <b/>
        <sz val="18"/>
        <color rgb="FF000000"/>
        <rFont val="宋体"/>
        <charset val="134"/>
      </rPr>
      <t>年芦淞区一般公共预算基本支出表－一般商品和服务支出</t>
    </r>
  </si>
  <si>
    <r>
      <rPr>
        <sz val="10"/>
        <rFont val="宋体"/>
        <charset val="134"/>
      </rPr>
      <t>单位名称</t>
    </r>
  </si>
  <si>
    <t>办公费</t>
  </si>
  <si>
    <t>印刷费</t>
  </si>
  <si>
    <t>水费</t>
  </si>
  <si>
    <t>电费</t>
  </si>
  <si>
    <t>邮电费</t>
  </si>
  <si>
    <t>取暖费</t>
  </si>
  <si>
    <t>物业管理费</t>
  </si>
  <si>
    <t>差旅费</t>
  </si>
  <si>
    <t>维修(护)费</t>
  </si>
  <si>
    <t>租赁费</t>
  </si>
  <si>
    <t>会议费</t>
  </si>
  <si>
    <t>培训费</t>
  </si>
  <si>
    <t>公务接待费</t>
  </si>
  <si>
    <t>劳务费</t>
  </si>
  <si>
    <t>工会经费</t>
  </si>
  <si>
    <t>福利费</t>
  </si>
  <si>
    <t>其他交通费用</t>
  </si>
  <si>
    <t>税金及附加费用</t>
  </si>
  <si>
    <t>其他商品和服务支出</t>
  </si>
  <si>
    <t>附件7</t>
  </si>
  <si>
    <t>2020年芦淞区一般公共预算基本支出表－对个人和家庭的补助</t>
  </si>
  <si>
    <r>
      <rPr>
        <sz val="10"/>
        <rFont val="宋体"/>
        <charset val="134"/>
      </rPr>
      <t>单位：万元</t>
    </r>
  </si>
  <si>
    <t>总计</t>
  </si>
  <si>
    <t>离休费</t>
  </si>
  <si>
    <t>退休费</t>
  </si>
  <si>
    <t>退职(役)费</t>
  </si>
  <si>
    <t>抚恤金</t>
  </si>
  <si>
    <t>生活补助</t>
  </si>
  <si>
    <t>救济费</t>
  </si>
  <si>
    <t>医疗费补助</t>
  </si>
  <si>
    <t>助学金</t>
  </si>
  <si>
    <t>奖励金</t>
  </si>
  <si>
    <t>个人农业生产补贴</t>
  </si>
  <si>
    <t>代缴社会保险费</t>
  </si>
  <si>
    <t>其他对个人和家庭的补助</t>
  </si>
  <si>
    <t>附件8</t>
  </si>
  <si>
    <t>2021年一般公共预算税收返还和转移支付表</t>
  </si>
  <si>
    <t>上级补助收入</t>
  </si>
  <si>
    <t>附件9</t>
  </si>
  <si>
    <t>2021年社会保险基金预算总表</t>
  </si>
  <si>
    <t>项        目</t>
  </si>
  <si>
    <t>城乡居民基本
养老保险基金</t>
  </si>
  <si>
    <t>机关事业单位基本养老保险基金</t>
  </si>
  <si>
    <t>失业保险基金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</si>
  <si>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</si>
  <si>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</si>
  <si>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</si>
  <si>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</si>
  <si>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</si>
  <si>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</si>
  <si>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</si>
  <si>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 xml:space="preserve">         7.中央调剂资金收入（省级专用）</t>
  </si>
  <si>
    <t xml:space="preserve">         8.中央调剂基金收入（中央专用)</t>
  </si>
  <si>
    <t>二、支出</t>
  </si>
  <si>
    <t xml:space="preserve">    其中:1.社会保险待遇支出</t>
  </si>
  <si>
    <t xml:space="preserve">         2.转移支出</t>
  </si>
  <si>
    <t xml:space="preserve">         3.其他支出</t>
  </si>
  <si>
    <t xml:space="preserve">         4.中央调剂基金支出（中央专用）</t>
  </si>
  <si>
    <t xml:space="preserve">         5.中央调剂资金支出（省级专用）</t>
  </si>
  <si>
    <t>三、本年收支结余</t>
  </si>
  <si>
    <t>四、年末滚存结余</t>
  </si>
  <si>
    <t>附件10</t>
  </si>
  <si>
    <t>2021年社会保险基金预算收入表</t>
  </si>
  <si>
    <t xml:space="preserve">         1.社会保险费收入</t>
  </si>
  <si>
    <t xml:space="preserve">                   收入总计</t>
  </si>
  <si>
    <t>附件11</t>
  </si>
  <si>
    <t>2021年社会保险基金预算支出表</t>
  </si>
  <si>
    <t xml:space="preserve">         1.社会保险待遇支出</t>
  </si>
  <si>
    <t xml:space="preserve">                    支出合计</t>
  </si>
  <si>
    <t>附件12</t>
  </si>
  <si>
    <t>2021年城乡居民基本养老保险基金收支预算表</t>
  </si>
  <si>
    <t>2020年执行数</t>
  </si>
  <si>
    <t>2021年预算数</t>
  </si>
  <si>
    <t>一、个人缴费收入</t>
  </si>
  <si>
    <t>一、基础养老金支出</t>
  </si>
  <si>
    <t xml:space="preserve">    其中：财政为困难人员代缴收入</t>
  </si>
  <si>
    <t>二、个人账户养老金支出</t>
  </si>
  <si>
    <t>二、财政补贴收入</t>
  </si>
  <si>
    <t>三、丧葬补助金支出</t>
  </si>
  <si>
    <t xml:space="preserve">    其中：财政对基础养老金的补贴</t>
  </si>
  <si>
    <t>四、转移支出</t>
  </si>
  <si>
    <t xml:space="preserve">          财政对个人缴费的补贴</t>
  </si>
  <si>
    <t>五、其他支出</t>
  </si>
  <si>
    <t>三、集体补助收入</t>
  </si>
  <si>
    <t>四、利息收入</t>
  </si>
  <si>
    <t>五、委托投资收益</t>
  </si>
  <si>
    <t>六、转移收入</t>
  </si>
  <si>
    <t>七、其他收入</t>
  </si>
  <si>
    <t>八、本年收入小计</t>
  </si>
  <si>
    <t>六、本年支出小计</t>
  </si>
  <si>
    <t>九、上级补助收入</t>
  </si>
  <si>
    <t>七、补助下级支出</t>
  </si>
  <si>
    <t>十、下级上解收入</t>
  </si>
  <si>
    <t>八、上解上级支出</t>
  </si>
  <si>
    <t>十一、本年收入合计</t>
  </si>
  <si>
    <t>九、本年支出合计</t>
  </si>
  <si>
    <t>十、本年收支结余</t>
  </si>
  <si>
    <t>十二、上年结余</t>
  </si>
  <si>
    <t>十一、年末滚存结余</t>
  </si>
  <si>
    <t>总        计</t>
  </si>
  <si>
    <t>附件13</t>
  </si>
  <si>
    <t>2021年机关事业单位基本养老保险基金收支预算表</t>
  </si>
  <si>
    <t>一、基本养老保险费收入</t>
  </si>
  <si>
    <t>一、基本养老金支出</t>
  </si>
  <si>
    <t>二、转移支出</t>
  </si>
  <si>
    <t xml:space="preserve">    其中：地方财政补贴</t>
  </si>
  <si>
    <t>三、其他支出</t>
  </si>
  <si>
    <t>三、利息收入</t>
  </si>
  <si>
    <t>四、转移收入</t>
  </si>
  <si>
    <t>五、其他收入</t>
  </si>
  <si>
    <t xml:space="preserve">    其中：滞纳金</t>
  </si>
  <si>
    <t>六、本年收入小计</t>
  </si>
  <si>
    <t>四、本年支出小计</t>
  </si>
  <si>
    <t>七、上级补助收入</t>
  </si>
  <si>
    <t>五、补助下级支出</t>
  </si>
  <si>
    <t>八、下级上解收入</t>
  </si>
  <si>
    <t>六、上解上级支出</t>
  </si>
  <si>
    <t>九、本年收入合计</t>
  </si>
  <si>
    <t>七、本年支出合计</t>
  </si>
  <si>
    <t>×</t>
  </si>
  <si>
    <t>八、本年收支结余</t>
  </si>
  <si>
    <t>十、上年结余</t>
  </si>
  <si>
    <t>九、年末滚存结余</t>
  </si>
  <si>
    <t>附件14</t>
  </si>
  <si>
    <t>2021年失业保险基金收支预算表</t>
  </si>
  <si>
    <t>一、失业保险费收入</t>
  </si>
  <si>
    <t>一、失业保险金支出</t>
  </si>
  <si>
    <t xml:space="preserve">二、基本医疗保险费支出 </t>
  </si>
  <si>
    <t>三、丧葬补助金和抚恤金支出</t>
  </si>
  <si>
    <t>四、职业培训和职业介绍补贴支出</t>
  </si>
  <si>
    <t>五、其他费用支出</t>
  </si>
  <si>
    <t>六、稳定岗位补贴支出</t>
  </si>
  <si>
    <t>七、技能提升补贴支出</t>
  </si>
  <si>
    <t>八、转移支出</t>
  </si>
  <si>
    <t>九、其他支出</t>
  </si>
  <si>
    <t xml:space="preserve">    其中：失业补助金支出</t>
  </si>
  <si>
    <t xml:space="preserve">          临时生活补助支出</t>
  </si>
  <si>
    <t>十、本年支出小计</t>
  </si>
  <si>
    <t>十一、补助下级支出</t>
  </si>
  <si>
    <t>十二、上解上级支出</t>
  </si>
  <si>
    <t>十三、本年支出合计</t>
  </si>
  <si>
    <t>十四、本年收支结余</t>
  </si>
  <si>
    <t>十五、年末滚存结余</t>
  </si>
  <si>
    <t>附件15</t>
  </si>
  <si>
    <t>2021年芦淞区政府性基金收入预算表</t>
  </si>
  <si>
    <t>科目编码</t>
  </si>
  <si>
    <t>科目名称</t>
  </si>
  <si>
    <t>政府性基金预算收入合计</t>
  </si>
  <si>
    <t xml:space="preserve">  政府性基金收入</t>
  </si>
  <si>
    <t xml:space="preserve">     农网还贷资金收入</t>
  </si>
  <si>
    <t xml:space="preserve">     铁路建设基金收入</t>
  </si>
  <si>
    <t xml:space="preserve">     民航发展基金收入</t>
  </si>
  <si>
    <t xml:space="preserve">     海南省高等级公路车辆通行附加费收入</t>
  </si>
  <si>
    <t xml:space="preserve">     港口建设费收入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</si>
  <si>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</si>
  <si>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</si>
  <si>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</si>
  <si>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</si>
  <si>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</si>
  <si>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</si>
  <si>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</si>
  <si>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</si>
  <si>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</si>
  <si>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</si>
  <si>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</si>
  <si>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</si>
  <si>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</si>
  <si>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</si>
  <si>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</si>
  <si>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</si>
  <si>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</si>
  <si>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</si>
  <si>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</si>
  <si>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</si>
  <si>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</si>
  <si>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</si>
  <si>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</si>
  <si>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</si>
  <si>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</si>
  <si>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</si>
  <si>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</si>
  <si>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</si>
  <si>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</si>
  <si>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</si>
  <si>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</si>
  <si>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</si>
  <si>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</si>
  <si>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</si>
  <si>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</si>
  <si>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</si>
  <si>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</si>
  <si>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其他政府性基金收入</t>
  </si>
  <si>
    <t xml:space="preserve">  专项债券对应项目专项收入</t>
  </si>
  <si>
    <t xml:space="preserve">     海南省高等级公路车辆通行附加费专项债务对应项目专项收入</t>
  </si>
  <si>
    <t xml:space="preserve">     港口建设费专项债务对应项目专项收入</t>
  </si>
  <si>
    <t xml:space="preserve">     国家电影事业发展专项资金专项债务对应项目专项收入</t>
  </si>
  <si>
    <t xml:space="preserve">     国有土地使用权出让金专项债务对应项目专项收入</t>
  </si>
  <si>
    <t xml:space="preserve">         土地储备专项债券对应项目专项收入</t>
  </si>
  <si>
    <t xml:space="preserve">         棚户区改造专项债券对应项目专项收入</t>
  </si>
  <si>
    <t xml:space="preserve">         其他国有土地使用权出让金专项债务对应项目专项收入</t>
  </si>
  <si>
    <t xml:space="preserve">     农业土地开发资金专项债务对应项目专项收入</t>
  </si>
  <si>
    <t xml:space="preserve">     大中型水库库区基金专项债务对应项目专项收入</t>
  </si>
  <si>
    <t xml:space="preserve">     城市基础设施配套费专项债务对应项目专项收入</t>
  </si>
  <si>
    <t xml:space="preserve">     小型水库移民扶助基金专项债务对应项目专项收入</t>
  </si>
  <si>
    <t xml:space="preserve">     国家重大水利工程建设基金专项债务对应项目专项收入</t>
  </si>
  <si>
    <t xml:space="preserve">     车辆通行费专项债务对应项目专项收入</t>
  </si>
  <si>
    <t xml:space="preserve">         政府收费公路专项债券对应项目专项收入</t>
  </si>
  <si>
    <t xml:space="preserve">         其他车辆通行费专项债务对应项目专项收入</t>
  </si>
  <si>
    <t xml:space="preserve">     污水处理费专项债务对应项目专项收入</t>
  </si>
  <si>
    <t xml:space="preserve">     其他政府性基金专项债务对应项目专项收入</t>
  </si>
  <si>
    <t xml:space="preserve">         其他地方自行试点项目收益专项债券对应项目专项收入</t>
  </si>
  <si>
    <t xml:space="preserve">         其他政府性基金专项债务对应项目专项收入</t>
  </si>
  <si>
    <t>本 年 收 入 合 计</t>
  </si>
  <si>
    <t>上年结余</t>
  </si>
  <si>
    <t>调入资金</t>
  </si>
  <si>
    <t>债务转贷收入</t>
  </si>
  <si>
    <t>收 入 合 计</t>
  </si>
  <si>
    <t>附件16</t>
  </si>
  <si>
    <t>2021年芦淞区政府性基金支出预算表</t>
  </si>
  <si>
    <t>支    出</t>
  </si>
  <si>
    <t>项  目</t>
  </si>
  <si>
    <t>2020年预算数</t>
  </si>
  <si>
    <t>一、科学技术支出</t>
  </si>
  <si>
    <t xml:space="preserve">    核电站乏燃料处理处置基金支出</t>
  </si>
  <si>
    <t>二、文化体育与传媒支出</t>
  </si>
  <si>
    <t xml:space="preserve">    国家电影事业发展专项资金支出</t>
  </si>
  <si>
    <t xml:space="preserve">    旅游发展基金支出</t>
  </si>
  <si>
    <t xml:space="preserve">    国家电影事业发展专项资金对应专项债务收入安排的支出</t>
  </si>
  <si>
    <t>三、社会保障和就业支出</t>
  </si>
  <si>
    <t xml:space="preserve">    大中型水库移民后期扶持基金支出</t>
  </si>
  <si>
    <t xml:space="preserve">    小型水库移民扶助基金支出</t>
  </si>
  <si>
    <t xml:space="preserve">    小型水库移民扶助基金对应专项债务收入安排的支出</t>
  </si>
  <si>
    <t>四、节能环保支出</t>
  </si>
  <si>
    <t xml:space="preserve">    可再生能源电价附加收入安排的支出</t>
  </si>
  <si>
    <t xml:space="preserve">    废弃电器电子产品处理基金支出</t>
  </si>
  <si>
    <t>五、城乡社区支出</t>
  </si>
  <si>
    <t xml:space="preserve">    国有土地使用权出让收入及对应专项债务收入安排的支出</t>
  </si>
  <si>
    <t xml:space="preserve">    国有土地收益基金及对应专项债务收入安排的支出</t>
  </si>
  <si>
    <t xml:space="preserve">    农业土地开发资金安排的支出</t>
  </si>
  <si>
    <t xml:space="preserve">    城市基础设施配套费安排的支出</t>
  </si>
  <si>
    <t xml:space="preserve">    污水处理费安排的支出</t>
  </si>
  <si>
    <t xml:space="preserve">    土地储备专项债券收入安排的支出</t>
  </si>
  <si>
    <t xml:space="preserve">    棚户区改造专项债券收入安排的支出</t>
  </si>
  <si>
    <t xml:space="preserve">    城市基础设施配套费对应专项债务收入安排的支出</t>
  </si>
  <si>
    <t xml:space="preserve">    污水处理费对应专项债务收入安排的支出</t>
  </si>
  <si>
    <t>六、农林水支出</t>
  </si>
  <si>
    <t xml:space="preserve">    大中型水库库区基金安排的支出</t>
  </si>
  <si>
    <t xml:space="preserve">    三峡水库库区基金支出</t>
  </si>
  <si>
    <t xml:space="preserve">    国家重大水利工程建设基金支出</t>
  </si>
  <si>
    <t xml:space="preserve">    大中型水库库区基金支出对应专项债务收入安排的支出</t>
  </si>
  <si>
    <t xml:space="preserve">    国家重大水利工程建设基金对应专项债务收入安排的支出</t>
  </si>
  <si>
    <t>七、交通运输支出</t>
  </si>
  <si>
    <t xml:space="preserve">    海南省高等级公路车辆通行附加费安排的支出</t>
  </si>
  <si>
    <t xml:space="preserve">    车辆通行费安排的支出</t>
  </si>
  <si>
    <t xml:space="preserve">    港口建设费安排的支出</t>
  </si>
  <si>
    <t xml:space="preserve">    铁路建设基金支出</t>
  </si>
  <si>
    <t xml:space="preserve">    船舶油污损害赔偿基金支出</t>
  </si>
  <si>
    <t xml:space="preserve">    民航发展基金支出</t>
  </si>
  <si>
    <t xml:space="preserve">    海南省高等级公路车辆通行附加费对应专项债务收入安排的支出</t>
  </si>
  <si>
    <t xml:space="preserve">    政府收费公路专项债券收入安排的支出</t>
  </si>
  <si>
    <t xml:space="preserve">    车辆通行费对应专项债务收入安排的支出</t>
  </si>
  <si>
    <t xml:space="preserve">    港口建设费对应专项债务收入安排的支出</t>
  </si>
  <si>
    <t>八、资源勘探电力信息等支出</t>
  </si>
  <si>
    <t xml:space="preserve">    农网还贷资金支出</t>
  </si>
  <si>
    <t>九、金融支出</t>
  </si>
  <si>
    <t xml:space="preserve">    金融调控支出</t>
  </si>
  <si>
    <t>十、其他支出</t>
  </si>
  <si>
    <t xml:space="preserve">    其他政府性基金及对应专项债务收入安排的支出</t>
  </si>
  <si>
    <t xml:space="preserve">    彩票发行销售机构业务费安排的支出</t>
  </si>
  <si>
    <t xml:space="preserve">    彩票公益金安排的支出</t>
  </si>
  <si>
    <t>本 年 支 出 合 计</t>
  </si>
  <si>
    <t>上解上级支出</t>
  </si>
  <si>
    <t>调出资金</t>
  </si>
  <si>
    <t>债务还本支出</t>
  </si>
  <si>
    <t>年终结余</t>
  </si>
  <si>
    <t>债务转贷支出</t>
  </si>
  <si>
    <t>地方政府专项债务还本支出</t>
  </si>
  <si>
    <t>地方政府专项债务付息支出</t>
  </si>
  <si>
    <t>地方政府专项债务发行费用支出</t>
  </si>
  <si>
    <t>支出合计</t>
  </si>
  <si>
    <t>附件17</t>
  </si>
  <si>
    <t>2021年芦淞区政府性基金转移支付表</t>
  </si>
  <si>
    <t>收    入</t>
  </si>
  <si>
    <t>一、农网还贷资金收入</t>
  </si>
  <si>
    <t>二、铁路建设基金收入</t>
  </si>
  <si>
    <t>三、民航发展基金收入</t>
  </si>
  <si>
    <t>四、海南省高等级公路车辆通行附加费收入</t>
  </si>
  <si>
    <t>五、港口建设费收入</t>
  </si>
  <si>
    <t>六、旅游发展基金收入</t>
  </si>
  <si>
    <t>七、国家电影事业发展专项资金收入</t>
  </si>
  <si>
    <t>八、国有土地收益基金收入</t>
  </si>
  <si>
    <t>九、农业土地开发资金收入</t>
  </si>
  <si>
    <t>十、国有土地使用权出让收入</t>
  </si>
  <si>
    <t>十一、大中型水库移民后期扶持基金收入</t>
  </si>
  <si>
    <t>十二、大中型水库库区基金收入</t>
  </si>
  <si>
    <t>十三、三峡水库库区基金收入</t>
  </si>
  <si>
    <t>十四、彩票公益金收入</t>
  </si>
  <si>
    <t>十五、城市基础设施配套费收入</t>
  </si>
  <si>
    <t>十六、小型水库移民扶助基金收入</t>
  </si>
  <si>
    <t>十七、国有重大水利工程建设基金收入</t>
  </si>
  <si>
    <t>十八、车辆通行费</t>
  </si>
  <si>
    <t>十九、核电站乏燃料处理处置基金收入</t>
  </si>
  <si>
    <t>二十、可再生能源电价附加收入</t>
  </si>
  <si>
    <t>二十一、船舶油污损害赔偿基金收入</t>
  </si>
  <si>
    <t>二十二、废弃电器电子产品处理基金收入</t>
  </si>
  <si>
    <t>二十三、污水处理费收入</t>
  </si>
  <si>
    <t>二十四、彩票发行机构和彩票销售机构的业务费用</t>
  </si>
  <si>
    <t>二十五、其他政府性基金收入</t>
  </si>
  <si>
    <t>收入合计</t>
  </si>
  <si>
    <t>备注：区级无对下政府性基金转移支付资金。</t>
  </si>
  <si>
    <t>附件18</t>
  </si>
  <si>
    <t>2021年芦淞区国有资本经营收入预算表</t>
  </si>
  <si>
    <r>
      <rPr>
        <b/>
        <sz val="14"/>
        <rFont val="宋体"/>
        <charset val="134"/>
      </rPr>
      <t>收</t>
    </r>
    <r>
      <rPr>
        <b/>
        <sz val="14"/>
        <rFont val="Times New Roman"/>
        <charset val="134"/>
      </rPr>
      <t xml:space="preserve">          </t>
    </r>
    <r>
      <rPr>
        <b/>
        <sz val="14"/>
        <rFont val="宋体"/>
        <charset val="134"/>
      </rPr>
      <t>入</t>
    </r>
  </si>
  <si>
    <r>
      <rPr>
        <b/>
        <sz val="14"/>
        <rFont val="宋体"/>
        <charset val="134"/>
      </rPr>
      <t>项</t>
    </r>
    <r>
      <rPr>
        <b/>
        <sz val="14"/>
        <rFont val="Times New Roman"/>
        <charset val="134"/>
      </rPr>
      <t xml:space="preserve">        </t>
    </r>
    <r>
      <rPr>
        <b/>
        <sz val="14"/>
        <rFont val="宋体"/>
        <charset val="134"/>
      </rPr>
      <t>目</t>
    </r>
  </si>
  <si>
    <t>2021预算数</t>
  </si>
  <si>
    <t>一、利润收入</t>
  </si>
  <si>
    <t>功能类企业利润收入</t>
  </si>
  <si>
    <t>公益类企业利润收入</t>
  </si>
  <si>
    <t>竞争类企业利润收入</t>
  </si>
  <si>
    <t>二、股利、股息收入</t>
  </si>
  <si>
    <r>
      <rPr>
        <sz val="14"/>
        <rFont val="Times New Roman"/>
        <charset val="134"/>
      </rPr>
      <t xml:space="preserve">          </t>
    </r>
    <r>
      <rPr>
        <sz val="14"/>
        <rFont val="宋体"/>
        <charset val="134"/>
      </rPr>
      <t>国有控股公司股利、股息收入</t>
    </r>
  </si>
  <si>
    <r>
      <rPr>
        <sz val="14"/>
        <rFont val="Times New Roman"/>
        <charset val="134"/>
      </rPr>
      <t xml:space="preserve">          </t>
    </r>
    <r>
      <rPr>
        <sz val="14"/>
        <rFont val="宋体"/>
        <charset val="134"/>
      </rPr>
      <t>国有参股公司股利、股息收入</t>
    </r>
  </si>
  <si>
    <r>
      <rPr>
        <sz val="14"/>
        <rFont val="Times New Roman"/>
        <charset val="134"/>
      </rPr>
      <t xml:space="preserve">          </t>
    </r>
    <r>
      <rPr>
        <sz val="14"/>
        <rFont val="宋体"/>
        <charset val="134"/>
      </rPr>
      <t>其他国有资本经营预算企业股利、股息收入</t>
    </r>
  </si>
  <si>
    <t>三、产权转让收入</t>
  </si>
  <si>
    <t>四、清算收入</t>
  </si>
  <si>
    <t>五、其他国有资本经营收入</t>
  </si>
  <si>
    <t>本年收入合计</t>
  </si>
  <si>
    <t>转移性收入</t>
  </si>
  <si>
    <r>
      <rPr>
        <b/>
        <sz val="14"/>
        <rFont val="宋体"/>
        <charset val="134"/>
      </rPr>
      <t>收</t>
    </r>
    <r>
      <rPr>
        <b/>
        <sz val="14"/>
        <rFont val="Times New Roman"/>
        <charset val="134"/>
      </rPr>
      <t xml:space="preserve"> </t>
    </r>
    <r>
      <rPr>
        <b/>
        <sz val="14"/>
        <rFont val="宋体"/>
        <charset val="134"/>
      </rPr>
      <t>入</t>
    </r>
    <r>
      <rPr>
        <b/>
        <sz val="14"/>
        <rFont val="Times New Roman"/>
        <charset val="134"/>
      </rPr>
      <t xml:space="preserve"> </t>
    </r>
    <r>
      <rPr>
        <b/>
        <sz val="14"/>
        <rFont val="宋体"/>
        <charset val="134"/>
      </rPr>
      <t>总</t>
    </r>
    <r>
      <rPr>
        <b/>
        <sz val="14"/>
        <rFont val="Times New Roman"/>
        <charset val="134"/>
      </rPr>
      <t xml:space="preserve"> </t>
    </r>
    <r>
      <rPr>
        <b/>
        <sz val="14"/>
        <rFont val="宋体"/>
        <charset val="134"/>
      </rPr>
      <t>计</t>
    </r>
  </si>
  <si>
    <t>备注：区本级暂无国有资本经营收入。</t>
  </si>
  <si>
    <t>附件19</t>
  </si>
  <si>
    <t>2021年芦淞区国有资本经营支出预算表</t>
  </si>
  <si>
    <r>
      <rPr>
        <b/>
        <sz val="14"/>
        <rFont val="宋体"/>
        <charset val="134"/>
      </rPr>
      <t>支</t>
    </r>
    <r>
      <rPr>
        <b/>
        <sz val="14"/>
        <rFont val="Times New Roman"/>
        <charset val="134"/>
      </rPr>
      <t xml:space="preserve">          </t>
    </r>
    <r>
      <rPr>
        <b/>
        <sz val="14"/>
        <rFont val="宋体"/>
        <charset val="134"/>
      </rPr>
      <t>出</t>
    </r>
  </si>
  <si>
    <t>一、社会保障和就业</t>
  </si>
  <si>
    <t>二、国有资本经营预算支出</t>
  </si>
  <si>
    <t>解决历史遗留问题及改革成本支出</t>
  </si>
  <si>
    <t>国有企业资本金注入</t>
  </si>
  <si>
    <t>公益性设施投资支出</t>
  </si>
  <si>
    <t>国有企业政策性补贴</t>
  </si>
  <si>
    <t>金融国有资本经营预算支出</t>
  </si>
  <si>
    <t>其他国有资本经营预算支出</t>
  </si>
  <si>
    <t>本年支出合计</t>
  </si>
  <si>
    <t>转移性支出</t>
  </si>
  <si>
    <t>结转下年</t>
  </si>
  <si>
    <r>
      <rPr>
        <b/>
        <sz val="14"/>
        <rFont val="宋体"/>
        <charset val="134"/>
      </rPr>
      <t>支</t>
    </r>
    <r>
      <rPr>
        <b/>
        <sz val="14"/>
        <rFont val="Times New Roman"/>
        <charset val="134"/>
      </rPr>
      <t xml:space="preserve"> </t>
    </r>
    <r>
      <rPr>
        <b/>
        <sz val="14"/>
        <rFont val="宋体"/>
        <charset val="134"/>
      </rPr>
      <t>出</t>
    </r>
    <r>
      <rPr>
        <b/>
        <sz val="14"/>
        <rFont val="Times New Roman"/>
        <charset val="134"/>
      </rPr>
      <t xml:space="preserve"> </t>
    </r>
    <r>
      <rPr>
        <b/>
        <sz val="14"/>
        <rFont val="宋体"/>
        <charset val="134"/>
      </rPr>
      <t>总</t>
    </r>
    <r>
      <rPr>
        <b/>
        <sz val="14"/>
        <rFont val="Times New Roman"/>
        <charset val="134"/>
      </rPr>
      <t xml:space="preserve"> </t>
    </r>
    <r>
      <rPr>
        <b/>
        <sz val="14"/>
        <rFont val="宋体"/>
        <charset val="134"/>
      </rPr>
      <t>计</t>
    </r>
  </si>
  <si>
    <t>备注：区本级暂无国有资本经营支出。</t>
  </si>
  <si>
    <t>附件20</t>
  </si>
  <si>
    <t>2021年区级扶贫资金安排分配情况表</t>
  </si>
  <si>
    <t>功能科目编码</t>
  </si>
  <si>
    <t>总  计</t>
  </si>
  <si>
    <t>说    明</t>
  </si>
  <si>
    <t>政策依据</t>
  </si>
  <si>
    <t>2050299</t>
  </si>
  <si>
    <t>《国务院关于进一步完善城乡义务教育经费保障机制的通知》（国发〔2015〕67号）、《城乡义务教育补助经费管理办法》（财科教〔2016〕7号）、《湖南省人民政府办公厅关于印发&lt;湖南省进一步完善城乡义务教育经费保障机制实施方案&gt;的通知》（湘政办发〔2016〕39号）</t>
  </si>
  <si>
    <t>2080109</t>
  </si>
  <si>
    <r>
      <rPr>
        <sz val="10"/>
        <rFont val="宋体"/>
        <charset val="134"/>
      </rPr>
      <t>社保基金同级财政补助</t>
    </r>
    <r>
      <rPr>
        <sz val="10"/>
        <rFont val="Times New Roman"/>
        <charset val="0"/>
      </rPr>
      <t>-</t>
    </r>
    <r>
      <rPr>
        <sz val="10"/>
        <rFont val="宋体"/>
        <charset val="134"/>
      </rPr>
      <t>城乡居保区级缴费补助</t>
    </r>
  </si>
  <si>
    <t>《湖南省人民政府关于建立统一的城乡居民基本养老保险制度的实施意见》（湘政发〔2014〕24号）</t>
  </si>
  <si>
    <r>
      <rPr>
        <sz val="10"/>
        <rFont val="宋体"/>
        <charset val="134"/>
      </rPr>
      <t>社保基金同级财政补助</t>
    </r>
    <r>
      <rPr>
        <sz val="10"/>
        <rFont val="Times New Roman"/>
        <charset val="0"/>
      </rPr>
      <t>-</t>
    </r>
    <r>
      <rPr>
        <sz val="10"/>
        <rFont val="宋体"/>
        <charset val="134"/>
      </rPr>
      <t>城乡居保区级养老金补助</t>
    </r>
  </si>
  <si>
    <t>《社会保险法》</t>
  </si>
  <si>
    <t>2100408</t>
  </si>
  <si>
    <t>《湖南省残疾人培训实施办法（试行）的通知》（湘残联字〔2014〕15号）、《人力资源社会保障部办公厅 中国残疾人联合会办公厅关于实施&lt;残疾人职业技能提升计划（2016-2020年）&gt;的通知》（人社厅发〔2016〕69号）、《残疾人创业扶持项目实施方案》（湘残联字〔2015〕9号）、《湖南省高中阶段残疾学生和高中阶段残疾人家庭子女资助管理办法》（湘残联字〔2015〕17号）；《湖南省残疾人大学生及贫困残疾人家庭大学生子女资助管理办法》（湘残联字〔2012〕57号）、《关于调整残疾人大学生及贫困残疾人家庭大学生子女资助办法的通知》(湘残联字〔2015〕24号)；《湖南省残疾人就业扶贫示范基地建设与管理办法》（湘残教字〔2011〕24号）、《湖南省残疾人培训实施办法（试行）的通知》（湘残联字〔2014〕15号）、《人力资源社会保障部办公厅 中国残疾人联合会办公厅关于实施&lt;残疾人职业技能提升计划（2016-2020年）&gt;的通知》（人社厅发〔2016〕69号）、《残疾人创业扶持项目实施方案》（湘残联字〔2015〕9号）；《湖南省残疾人就业扶贫示范基地建设与管理办法》（湘残教字〔2011〕24号）、《株洲市残联2018年全市组宣工作要点》（株残组宣文字[2018]1号）、《关于印发&lt;株洲市2018年残疾人基本服务状况和需求信息数据动态更新工作实施方案&gt;的通知》（株残字[2018]4号）</t>
  </si>
  <si>
    <t>213199</t>
  </si>
  <si>
    <t>《社会救助暂行办法》（国务院令第649号）、《国务院关于进一步加强和改进最低生活保障工作的意见》（国发〔2012〕45号）、《湖南省人民政府关于贯彻落实社会救助暂行办法的实施意见》（湘政发〔2015〕31号）、《湖南省人民政府关于进一步加强和改进最低生活保障工作的意见》（湘政发〔2013〕35号）</t>
  </si>
  <si>
    <t>2082101</t>
  </si>
  <si>
    <t>《湖南省人民政府关于进一步健全特困人员救助供养制度的实施意见》（湘政发〔2016〕11号）</t>
  </si>
  <si>
    <t>2081107</t>
  </si>
  <si>
    <r>
      <rPr>
        <sz val="10"/>
        <rFont val="Times New Roman"/>
        <charset val="0"/>
      </rPr>
      <t>2021</t>
    </r>
    <r>
      <rPr>
        <sz val="10"/>
        <rFont val="宋体"/>
        <charset val="0"/>
      </rPr>
      <t>年从</t>
    </r>
    <r>
      <rPr>
        <sz val="10"/>
        <rFont val="Times New Roman"/>
        <charset val="0"/>
      </rPr>
      <t>70</t>
    </r>
    <r>
      <rPr>
        <sz val="10"/>
        <rFont val="宋体"/>
        <charset val="0"/>
      </rPr>
      <t>元</t>
    </r>
    <r>
      <rPr>
        <sz val="10"/>
        <rFont val="Times New Roman"/>
        <charset val="0"/>
      </rPr>
      <t>/</t>
    </r>
    <r>
      <rPr>
        <sz val="10"/>
        <rFont val="宋体"/>
        <charset val="0"/>
      </rPr>
      <t>人提标至</t>
    </r>
    <r>
      <rPr>
        <sz val="10"/>
        <rFont val="Times New Roman"/>
        <charset val="0"/>
      </rPr>
      <t>100</t>
    </r>
    <r>
      <rPr>
        <sz val="10"/>
        <rFont val="宋体"/>
        <charset val="0"/>
      </rPr>
      <t>元</t>
    </r>
    <r>
      <rPr>
        <sz val="10"/>
        <rFont val="Times New Roman"/>
        <charset val="0"/>
      </rPr>
      <t>/</t>
    </r>
    <r>
      <rPr>
        <sz val="10"/>
        <rFont val="宋体"/>
        <charset val="0"/>
      </rPr>
      <t>人。困难残疾人生活补贴</t>
    </r>
    <r>
      <rPr>
        <sz val="10"/>
        <rFont val="Times New Roman"/>
        <charset val="0"/>
      </rPr>
      <t>1184</t>
    </r>
    <r>
      <rPr>
        <sz val="10"/>
        <rFont val="宋体"/>
        <charset val="0"/>
      </rPr>
      <t>人，</t>
    </r>
    <r>
      <rPr>
        <sz val="10"/>
        <rFont val="Times New Roman"/>
        <charset val="0"/>
      </rPr>
      <t>100</t>
    </r>
    <r>
      <rPr>
        <sz val="10"/>
        <rFont val="宋体"/>
        <charset val="0"/>
      </rPr>
      <t>元</t>
    </r>
    <r>
      <rPr>
        <sz val="10"/>
        <rFont val="Times New Roman"/>
        <charset val="0"/>
      </rPr>
      <t>/</t>
    </r>
    <r>
      <rPr>
        <sz val="10"/>
        <rFont val="宋体"/>
        <charset val="0"/>
      </rPr>
      <t>月，</t>
    </r>
    <r>
      <rPr>
        <sz val="10"/>
        <rFont val="Times New Roman"/>
        <charset val="0"/>
      </rPr>
      <t>142.08</t>
    </r>
    <r>
      <rPr>
        <sz val="10"/>
        <rFont val="宋体"/>
        <charset val="0"/>
      </rPr>
      <t>万元；重度残疾人护理补贴</t>
    </r>
    <r>
      <rPr>
        <sz val="10"/>
        <rFont val="Times New Roman"/>
        <charset val="0"/>
      </rPr>
      <t>1874</t>
    </r>
    <r>
      <rPr>
        <sz val="10"/>
        <rFont val="宋体"/>
        <charset val="0"/>
      </rPr>
      <t>人，</t>
    </r>
    <r>
      <rPr>
        <sz val="10"/>
        <rFont val="Times New Roman"/>
        <charset val="0"/>
      </rPr>
      <t>100</t>
    </r>
    <r>
      <rPr>
        <sz val="10"/>
        <rFont val="宋体"/>
        <charset val="0"/>
      </rPr>
      <t>元</t>
    </r>
    <r>
      <rPr>
        <sz val="10"/>
        <rFont val="Times New Roman"/>
        <charset val="0"/>
      </rPr>
      <t>/</t>
    </r>
    <r>
      <rPr>
        <sz val="10"/>
        <rFont val="宋体"/>
        <charset val="0"/>
      </rPr>
      <t>月，</t>
    </r>
    <r>
      <rPr>
        <sz val="10"/>
        <rFont val="Times New Roman"/>
        <charset val="0"/>
      </rPr>
      <t>224.88</t>
    </r>
    <r>
      <rPr>
        <sz val="10"/>
        <rFont val="宋体"/>
        <charset val="0"/>
      </rPr>
      <t>万元。（省级负担</t>
    </r>
    <r>
      <rPr>
        <sz val="10"/>
        <rFont val="Times New Roman"/>
        <charset val="0"/>
      </rPr>
      <t>16.25</t>
    </r>
    <r>
      <rPr>
        <sz val="10"/>
        <rFont val="宋体"/>
        <charset val="0"/>
      </rPr>
      <t>元</t>
    </r>
    <r>
      <rPr>
        <sz val="10"/>
        <rFont val="Times New Roman"/>
        <charset val="0"/>
      </rPr>
      <t>/</t>
    </r>
    <r>
      <rPr>
        <sz val="10"/>
        <rFont val="宋体"/>
        <charset val="0"/>
      </rPr>
      <t>月，剩余部分市区各</t>
    </r>
    <r>
      <rPr>
        <sz val="10"/>
        <rFont val="Times New Roman"/>
        <charset val="0"/>
      </rPr>
      <t>50%</t>
    </r>
    <r>
      <rPr>
        <sz val="10"/>
        <rFont val="宋体"/>
        <charset val="0"/>
      </rPr>
      <t>）据实核拨。</t>
    </r>
  </si>
  <si>
    <t>《湖南省人民政府关于全面建立困难残疾人生活补贴和重度残疾人护理补贴制度的实施意见》（湘政发〔2015〕54号）</t>
  </si>
  <si>
    <t>2120501</t>
  </si>
  <si>
    <t>《社会救助暂行办法》（国务院令第649号）、《国务院办公厅转发民政部等部门关于进一步完善医疗救助制度全面开展重特大疾病医疗救助工作意见的通知》（国办发〔2015〕30号）、《湖南省民政厅等部门关于贯彻落实国办发〔2015〕30号文件进一步做好全省医疗救助工作的通知》（湘民发〔2015〕25号）</t>
  </si>
  <si>
    <t>2130199</t>
  </si>
  <si>
    <t>《社会保险法》、《湖南省人民政府关于整合城乡居民基本医疗保险制度的实施意见》（湘政发〔2016〕14号）、《湖南省城乡居民基本医疗保险实施办法》（湘政发〔2016〕29号）</t>
  </si>
  <si>
    <r>
      <rPr>
        <sz val="10"/>
        <rFont val="宋体"/>
        <charset val="134"/>
      </rPr>
      <t>爱卫专项</t>
    </r>
    <r>
      <rPr>
        <sz val="10"/>
        <rFont val="Times New Roman"/>
        <charset val="134"/>
      </rPr>
      <t>37</t>
    </r>
    <r>
      <rPr>
        <sz val="10"/>
        <rFont val="宋体"/>
        <charset val="134"/>
      </rPr>
      <t>万元，国卫复审专项</t>
    </r>
    <r>
      <rPr>
        <sz val="10"/>
        <rFont val="Times New Roman"/>
        <charset val="134"/>
      </rPr>
      <t>20</t>
    </r>
    <r>
      <rPr>
        <sz val="10"/>
        <rFont val="宋体"/>
        <charset val="134"/>
      </rPr>
      <t>万元（含考评），基层卫生人才</t>
    </r>
    <r>
      <rPr>
        <sz val="10"/>
        <rFont val="Times New Roman"/>
        <charset val="134"/>
      </rPr>
      <t>“135”</t>
    </r>
    <r>
      <rPr>
        <sz val="10"/>
        <rFont val="宋体"/>
        <charset val="134"/>
      </rPr>
      <t>工程学科骨干补贴</t>
    </r>
    <r>
      <rPr>
        <sz val="10"/>
        <rFont val="Times New Roman"/>
        <charset val="134"/>
      </rPr>
      <t>6</t>
    </r>
    <r>
      <rPr>
        <sz val="10"/>
        <rFont val="宋体"/>
        <charset val="134"/>
      </rPr>
      <t>万元，基层医疗机构医疗设备新三件配置经费</t>
    </r>
    <r>
      <rPr>
        <sz val="10"/>
        <rFont val="Times New Roman"/>
        <charset val="134"/>
      </rPr>
      <t>98</t>
    </r>
    <r>
      <rPr>
        <sz val="10"/>
        <rFont val="宋体"/>
        <charset val="134"/>
      </rPr>
      <t>万元，基本公共卫生服务项目</t>
    </r>
    <r>
      <rPr>
        <sz val="10"/>
        <rFont val="Times New Roman"/>
        <charset val="134"/>
      </rPr>
      <t>305</t>
    </r>
    <r>
      <rPr>
        <sz val="10"/>
        <rFont val="宋体"/>
        <charset val="134"/>
      </rPr>
      <t>万元，互联网</t>
    </r>
    <r>
      <rPr>
        <sz val="10"/>
        <rFont val="Times New Roman"/>
        <charset val="134"/>
      </rPr>
      <t>+</t>
    </r>
    <r>
      <rPr>
        <sz val="10"/>
        <rFont val="宋体"/>
        <charset val="134"/>
      </rPr>
      <t>医疗健康项目</t>
    </r>
    <r>
      <rPr>
        <sz val="10"/>
        <rFont val="Times New Roman"/>
        <charset val="134"/>
      </rPr>
      <t>207.6</t>
    </r>
    <r>
      <rPr>
        <sz val="10"/>
        <rFont val="宋体"/>
        <charset val="134"/>
      </rPr>
      <t>万元，村卫生室运行经费</t>
    </r>
    <r>
      <rPr>
        <sz val="10"/>
        <rFont val="Times New Roman"/>
        <charset val="134"/>
      </rPr>
      <t>5.4</t>
    </r>
    <r>
      <rPr>
        <sz val="10"/>
        <rFont val="宋体"/>
        <charset val="134"/>
      </rPr>
      <t>万元，全科医生津贴</t>
    </r>
    <r>
      <rPr>
        <sz val="10"/>
        <rFont val="Times New Roman"/>
        <charset val="134"/>
      </rPr>
      <t>31.8</t>
    </r>
    <r>
      <rPr>
        <sz val="10"/>
        <rFont val="宋体"/>
        <charset val="134"/>
      </rPr>
      <t>万元，村卫生室基本药物制度实施补助经费</t>
    </r>
    <r>
      <rPr>
        <sz val="10"/>
        <rFont val="Times New Roman"/>
        <charset val="134"/>
      </rPr>
      <t>82</t>
    </r>
    <r>
      <rPr>
        <sz val="10"/>
        <rFont val="宋体"/>
        <charset val="134"/>
      </rPr>
      <t>万元，中医药事业发展专项</t>
    </r>
    <r>
      <rPr>
        <sz val="10"/>
        <rFont val="Times New Roman"/>
        <charset val="134"/>
      </rPr>
      <t>20</t>
    </r>
    <r>
      <rPr>
        <sz val="10"/>
        <rFont val="宋体"/>
        <charset val="134"/>
      </rPr>
      <t>万元，医师节、护士节经费</t>
    </r>
    <r>
      <rPr>
        <sz val="10"/>
        <rFont val="Times New Roman"/>
        <charset val="134"/>
      </rPr>
      <t>5</t>
    </r>
    <r>
      <rPr>
        <sz val="10"/>
        <rFont val="宋体"/>
        <charset val="134"/>
      </rPr>
      <t>万元，区肇事肇祸等严重精神障碍患者监护奖励经费</t>
    </r>
    <r>
      <rPr>
        <sz val="10"/>
        <rFont val="Times New Roman"/>
        <charset val="134"/>
      </rPr>
      <t>53</t>
    </r>
    <r>
      <rPr>
        <sz val="10"/>
        <rFont val="宋体"/>
        <charset val="134"/>
      </rPr>
      <t>万元，巩固全国健康促进区</t>
    </r>
    <r>
      <rPr>
        <sz val="10"/>
        <rFont val="Times New Roman"/>
        <charset val="134"/>
      </rPr>
      <t>10</t>
    </r>
    <r>
      <rPr>
        <sz val="10"/>
        <rFont val="宋体"/>
        <charset val="134"/>
      </rPr>
      <t>万元，许可证经费</t>
    </r>
    <r>
      <rPr>
        <sz val="10"/>
        <rFont val="Times New Roman"/>
        <charset val="134"/>
      </rPr>
      <t>2</t>
    </r>
    <r>
      <rPr>
        <sz val="10"/>
        <rFont val="宋体"/>
        <charset val="134"/>
      </rPr>
      <t>万元。</t>
    </r>
  </si>
  <si>
    <t>《卫生部 财政部 国家人口和计划生育委员会关于促进基本公共卫生服务逐步均等化的意见》（卫妇社发〔2009〕70号）、《湖南省财政厅关于明确基本公共卫生服务财政补助资金配套和拨付办法有关问题的通知》（湘财社〔2010〕24号）</t>
  </si>
  <si>
    <t>《血吸虫病防治条例》、《湖南省消除血吸虫病规划（2016-2025年）》（湘政办发〔2016〕37号）、《湖南省消除血吸虫病规划（2016-2025年）实施方案》（湘血防发〔2016〕2号）、《“健康中国2030”规划纲要》、《关于实施健康扶贫工程的指导意见》（国卫财务发〔2016〕26号）、《艾滋病防治条例》、《中国遏制与防治艾滋病“十三五”行动计划》（国办发〔2017〕8号）、《关于实施健康扶贫工程的指导意见》（国卫财务发〔2016〕26号）《“十三五”全国结核病防治规划》（国办发〔2017〕16号）、《卫生部 财政部 国家人口和计划生育委员会关于促进基本公共卫生服务逐步均等化的意见》（卫妇社发〔2009〕70号）、《湖南省财政厅关于明确基本公共卫生服务财政补助资金配套和拨付办法有关问题的通知》（湘财社〔2010〕24号）</t>
  </si>
  <si>
    <t>关于印发《株洲市农村人居环境整治三年行动实施方案（2018-2020年）》的通知（株办发〔2018〕25号）</t>
  </si>
  <si>
    <r>
      <rPr>
        <sz val="10"/>
        <rFont val="宋体"/>
        <charset val="134"/>
      </rPr>
      <t>退捕渔民社保补贴17.24万元、畜禽无害化处理</t>
    </r>
    <r>
      <rPr>
        <sz val="10"/>
        <rFont val="Times New Roman"/>
        <charset val="134"/>
      </rPr>
      <t>34.5</t>
    </r>
    <r>
      <rPr>
        <sz val="10"/>
        <rFont val="宋体"/>
        <charset val="134"/>
      </rPr>
      <t>万元及畜禽疫病防控</t>
    </r>
    <r>
      <rPr>
        <sz val="10"/>
        <rFont val="Times New Roman"/>
        <charset val="134"/>
      </rPr>
      <t>20</t>
    </r>
    <r>
      <rPr>
        <sz val="10"/>
        <rFont val="宋体"/>
        <charset val="134"/>
      </rPr>
      <t>万元。</t>
    </r>
    <r>
      <rPr>
        <sz val="10"/>
        <rFont val="Times New Roman"/>
        <charset val="134"/>
      </rPr>
      <t>(</t>
    </r>
    <r>
      <rPr>
        <sz val="10"/>
        <rFont val="宋体"/>
        <charset val="134"/>
      </rPr>
      <t>上年预留抗疫国债265万元）</t>
    </r>
  </si>
  <si>
    <t>《中华人民共和国渔业法》、《中共湖南省委办公厅 湖南省人民政府办公厅关于解决洞庭湖区捕捞渔民生产生活困难的意见》（湘办发〔2009〕3号）；《农业部办公厅 财政部办公厅关于做好2012年生猪规模化养殖场无害化处理经费补助相关工作的通知》（农办财〔2012〕11号），农业部、财政部《关于调整完善动物疫病防控支持政策的通知》（农医发2016]35号），财政部、农业部关于《动物防疫等补助经费管理办法的通知》（财农〔2017〕43号），农业部办公厅、财政部办公厅关于《动物疫病防控财政政策实施指导意见》的通知（农办财[2017]35号），省畜牧水产局、省财政厅《关于调整完善动物疫病防控支持政策的实施意见》（湘牧渔联[2017]6号）；</t>
  </si>
  <si>
    <t>2130109</t>
  </si>
  <si>
    <t>《2018年湖南省食品安全工作评议考核方案》【2018】5号</t>
  </si>
  <si>
    <t>森林植被恢复费和上级专项统筹安排。土地利用节约集约用地工作经费10万元，3.12全民义务植树，护林员补助，营造油茶林、古树名木维护管理.保险费项目95.2万元，森林督查一张图、天然林保护工程47万元，松线病虫害控制122.39万元，防火隔离体系建设经费80万元，设施农业用地上图入库52万元，农村道路绿化35.5万元。</t>
  </si>
  <si>
    <t>《林业改革发展资金管理办法》（财农（2016）196号）、《湖南省森林生态效益补偿基金管理办法》（湘财农〔2014〕1 号）、《湖南省森林培育与资源保护专项资金管理办法》（湘财农〔2015〕43号）</t>
  </si>
  <si>
    <t>附件21</t>
  </si>
  <si>
    <t>2021年芦淞区专项转移支付分项目分地区预算明细表</t>
  </si>
  <si>
    <t>单位代码</t>
  </si>
  <si>
    <t>项目名称</t>
  </si>
  <si>
    <t>**</t>
  </si>
  <si>
    <t/>
  </si>
  <si>
    <t>说明：区本级无对下转移支付</t>
  </si>
  <si>
    <t>附件22</t>
  </si>
  <si>
    <t>2021年芦淞区政府一般债务限额和余额情况表</t>
  </si>
  <si>
    <t>项目</t>
  </si>
  <si>
    <t>限额</t>
  </si>
  <si>
    <t>余额</t>
  </si>
  <si>
    <t>芦淞区本级</t>
  </si>
  <si>
    <t>附件23</t>
  </si>
  <si>
    <t>2021年芦淞区政府专项债务限额和余额情况表</t>
  </si>
  <si>
    <t>·</t>
  </si>
  <si>
    <t>附件24</t>
  </si>
  <si>
    <t>2021年新增政府一般债券安排情况表</t>
  </si>
  <si>
    <t>支出金额</t>
  </si>
  <si>
    <r>
      <rPr>
        <b/>
        <sz val="11"/>
        <rFont val="宋体"/>
        <charset val="134"/>
      </rPr>
      <t>摘</t>
    </r>
    <r>
      <rPr>
        <b/>
        <sz val="11"/>
        <rFont val="Times New Roman"/>
        <charset val="134"/>
      </rPr>
      <t xml:space="preserve">  </t>
    </r>
    <r>
      <rPr>
        <b/>
        <sz val="11"/>
        <rFont val="宋体"/>
        <charset val="134"/>
      </rPr>
      <t>要</t>
    </r>
  </si>
  <si>
    <t>合  计</t>
  </si>
  <si>
    <t>上年结转一般债券安排120万元，上年结转抗疫国债安排258万元，2021年债券预计安排300万元。</t>
  </si>
  <si>
    <t>上年结转一般债券安排210万元，2021年债券预计安排100万元。</t>
  </si>
  <si>
    <r>
      <rPr>
        <sz val="11"/>
        <rFont val="宋体"/>
        <charset val="134"/>
      </rPr>
      <t>上年结转一般债券安排</t>
    </r>
    <r>
      <rPr>
        <sz val="11"/>
        <rFont val="Times New Roman"/>
        <charset val="134"/>
      </rPr>
      <t>1665</t>
    </r>
    <r>
      <rPr>
        <sz val="11"/>
        <rFont val="宋体"/>
        <charset val="134"/>
      </rPr>
      <t>万元，上年结转抗疫国债安排</t>
    </r>
    <r>
      <rPr>
        <sz val="11"/>
        <rFont val="Times New Roman"/>
        <charset val="134"/>
      </rPr>
      <t>700</t>
    </r>
    <r>
      <rPr>
        <sz val="11"/>
        <rFont val="宋体"/>
        <charset val="134"/>
      </rPr>
      <t>万元，</t>
    </r>
    <r>
      <rPr>
        <sz val="11"/>
        <rFont val="Times New Roman"/>
        <charset val="134"/>
      </rPr>
      <t>2021</t>
    </r>
    <r>
      <rPr>
        <sz val="11"/>
        <rFont val="宋体"/>
        <charset val="134"/>
      </rPr>
      <t>年债券预计安排</t>
    </r>
    <r>
      <rPr>
        <sz val="11"/>
        <rFont val="Times New Roman"/>
        <charset val="134"/>
      </rPr>
      <t>1000</t>
    </r>
    <r>
      <rPr>
        <sz val="11"/>
        <rFont val="宋体"/>
        <charset val="134"/>
      </rPr>
      <t>万元。</t>
    </r>
  </si>
  <si>
    <t>建宁驿站建设改造</t>
  </si>
  <si>
    <r>
      <rPr>
        <sz val="11"/>
        <rFont val="宋体"/>
        <charset val="0"/>
      </rPr>
      <t>新建</t>
    </r>
    <r>
      <rPr>
        <sz val="11"/>
        <rFont val="Times New Roman"/>
        <charset val="0"/>
      </rPr>
      <t>3</t>
    </r>
    <r>
      <rPr>
        <sz val="11"/>
        <rFont val="宋体"/>
        <charset val="0"/>
      </rPr>
      <t>座，改造</t>
    </r>
    <r>
      <rPr>
        <sz val="11"/>
        <rFont val="Times New Roman"/>
        <charset val="0"/>
      </rPr>
      <t>17</t>
    </r>
    <r>
      <rPr>
        <sz val="11"/>
        <rFont val="宋体"/>
        <charset val="0"/>
      </rPr>
      <t>座，流动公厕</t>
    </r>
    <r>
      <rPr>
        <sz val="11"/>
        <rFont val="Times New Roman"/>
        <charset val="0"/>
      </rPr>
      <t>5</t>
    </r>
    <r>
      <rPr>
        <sz val="11"/>
        <rFont val="宋体"/>
        <charset val="0"/>
      </rPr>
      <t>座。</t>
    </r>
  </si>
  <si>
    <t>垃圾站、公厕建设</t>
  </si>
  <si>
    <r>
      <rPr>
        <sz val="11"/>
        <rFont val="Times New Roman"/>
        <charset val="134"/>
      </rPr>
      <t>2017</t>
    </r>
    <r>
      <rPr>
        <sz val="11"/>
        <rFont val="宋体"/>
        <charset val="134"/>
      </rPr>
      <t>年国卫复检垃圾站公厕改造</t>
    </r>
    <r>
      <rPr>
        <sz val="11"/>
        <rFont val="Times New Roman"/>
        <charset val="134"/>
      </rPr>
      <t>52.5</t>
    </r>
    <r>
      <rPr>
        <sz val="11"/>
        <rFont val="宋体"/>
        <charset val="134"/>
      </rPr>
      <t>万元。</t>
    </r>
  </si>
  <si>
    <t>水利建设</t>
  </si>
  <si>
    <t>湘江右岸芦淞区老虎堤整治工程370.31万元，芦淞区关口山（玉泉段）河道整治工程180万元，芦淞大京电站压力管改造工程75万元。枫溪港堤防整修加固工程（华兴村段）37万元占地补偿，枫溪港京广线—铁东路段治理工程40万元占地补偿，大京灌区主渠道险情处置200万元，芦淞区枫溪港堤防水毁修复工程（虎形堤、江渌路段）50万元。大京水库安全鉴定20.2万元、大京水库渠道项目前期费用2.2万元、选青村渡槽拆除工程40万元、大京水厂管网延伸工程和并网工程128.25万元（预留抗疫国债757万元，2020年一般债190.66万元，2021新增一般债227万元）</t>
  </si>
  <si>
    <r>
      <rPr>
        <sz val="11"/>
        <rFont val="宋体"/>
        <charset val="0"/>
      </rPr>
      <t>上年结转一般债券安排</t>
    </r>
    <r>
      <rPr>
        <sz val="11"/>
        <rFont val="Times New Roman"/>
        <charset val="0"/>
      </rPr>
      <t>937</t>
    </r>
    <r>
      <rPr>
        <sz val="11"/>
        <rFont val="宋体"/>
        <charset val="0"/>
      </rPr>
      <t>万元，</t>
    </r>
    <r>
      <rPr>
        <sz val="11"/>
        <rFont val="Times New Roman"/>
        <charset val="0"/>
      </rPr>
      <t>2021</t>
    </r>
    <r>
      <rPr>
        <sz val="11"/>
        <rFont val="宋体"/>
        <charset val="0"/>
      </rPr>
      <t>年债券资金</t>
    </r>
    <r>
      <rPr>
        <sz val="11"/>
        <rFont val="Times New Roman"/>
        <charset val="0"/>
      </rPr>
      <t>1700</t>
    </r>
    <r>
      <rPr>
        <sz val="11"/>
        <rFont val="宋体"/>
        <charset val="0"/>
      </rPr>
      <t>万。</t>
    </r>
  </si>
  <si>
    <t>小型农田水利奖补资金</t>
  </si>
  <si>
    <t>附件25</t>
  </si>
  <si>
    <t>2021年区本级“三公”经费预算财政拨款情况统计表</t>
  </si>
  <si>
    <t>“三公”经费预算数（一般公共预算拨款）</t>
  </si>
  <si>
    <t>公务用车购置及运行费</t>
  </si>
  <si>
    <t>其中</t>
  </si>
  <si>
    <t>因公出国（境）费</t>
  </si>
  <si>
    <t>公务用车购置费</t>
  </si>
  <si>
    <t>说明：1、本表公开内容为支出的“三公”经费预算一般公共预算拨款安排情况：</t>
  </si>
  <si>
    <t xml:space="preserve">      2、一般公共预算拨款包括经费拨款和纳入一般公共预算管理的非税收入拨款；</t>
  </si>
  <si>
    <t xml:space="preserve">      3、公开口径为当年安排数（不含上年结转）；</t>
  </si>
  <si>
    <t xml:space="preserve">      4、2021年区本级三公经费比2020年预算减少50.56万元，主要原因是落实过紧日子要求，在预算编制时压减了单位运转经费。</t>
  </si>
</sst>
</file>

<file path=xl/styles.xml><?xml version="1.0" encoding="utf-8"?>
<styleSheet xmlns="http://schemas.openxmlformats.org/spreadsheetml/2006/main">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
    <numFmt numFmtId="177" formatCode="#,##0.00_ ;\-#,##0.00"/>
    <numFmt numFmtId="178" formatCode="#,##0_ "/>
    <numFmt numFmtId="179" formatCode="#,##0.00_ ;\-#,##0.00;;"/>
    <numFmt numFmtId="180" formatCode="0.00_ "/>
    <numFmt numFmtId="181" formatCode="0_ "/>
    <numFmt numFmtId="182" formatCode="#,##0.0_ "/>
    <numFmt numFmtId="183" formatCode="0.00_);[Red]\(0.00\)"/>
    <numFmt numFmtId="184" formatCode="* #,##0.00;* \-#,##0.00;* &quot;&quot;??;@"/>
  </numFmts>
  <fonts count="106">
    <font>
      <sz val="11"/>
      <color theme="1"/>
      <name val="宋体"/>
      <charset val="134"/>
      <scheme val="minor"/>
    </font>
    <font>
      <sz val="10"/>
      <color indexed="8"/>
      <name val="黑体"/>
      <charset val="0"/>
    </font>
    <font>
      <sz val="20"/>
      <color theme="1"/>
      <name val="方正小标宋简体"/>
      <charset val="134"/>
    </font>
    <font>
      <sz val="11"/>
      <name val="宋体"/>
      <charset val="134"/>
    </font>
    <font>
      <b/>
      <sz val="11"/>
      <name val="宋体"/>
      <charset val="134"/>
    </font>
    <font>
      <sz val="10"/>
      <name val="Times New Roman"/>
      <charset val="0"/>
    </font>
    <font>
      <sz val="20"/>
      <name val="方正小标宋简体"/>
      <charset val="134"/>
    </font>
    <font>
      <b/>
      <sz val="11"/>
      <name val="宋体"/>
      <charset val="0"/>
    </font>
    <font>
      <sz val="11"/>
      <name val="Times New Roman"/>
      <charset val="0"/>
    </font>
    <font>
      <sz val="11"/>
      <name val="Times New Roman"/>
      <charset val="134"/>
    </font>
    <font>
      <sz val="11"/>
      <name val="宋体"/>
      <charset val="0"/>
    </font>
    <font>
      <sz val="12"/>
      <name val="宋体"/>
      <charset val="134"/>
    </font>
    <font>
      <sz val="11"/>
      <color indexed="8"/>
      <name val="Times New Roman"/>
      <charset val="0"/>
    </font>
    <font>
      <sz val="11"/>
      <color indexed="8"/>
      <name val="宋体"/>
      <charset val="134"/>
    </font>
    <font>
      <b/>
      <sz val="12"/>
      <color indexed="8"/>
      <name val="仿宋_GB2312"/>
      <charset val="134"/>
    </font>
    <font>
      <sz val="12"/>
      <color indexed="8"/>
      <name val="宋体"/>
      <charset val="134"/>
    </font>
    <font>
      <b/>
      <sz val="18"/>
      <color indexed="8"/>
      <name val="宋体"/>
      <charset val="134"/>
    </font>
    <font>
      <sz val="9"/>
      <color indexed="8"/>
      <name val="宋体"/>
      <charset val="134"/>
    </font>
    <font>
      <sz val="10"/>
      <color indexed="8"/>
      <name val="宋体"/>
      <charset val="134"/>
    </font>
    <font>
      <b/>
      <sz val="18"/>
      <color rgb="FF000000"/>
      <name val="方正小标宋_GBK"/>
      <charset val="134"/>
    </font>
    <font>
      <sz val="11"/>
      <color theme="1"/>
      <name val="方正小标宋_GBK"/>
      <charset val="134"/>
    </font>
    <font>
      <b/>
      <sz val="11"/>
      <color rgb="FF000000"/>
      <name val="仿宋"/>
      <charset val="134"/>
    </font>
    <font>
      <b/>
      <sz val="11"/>
      <color theme="1"/>
      <name val="仿宋"/>
      <charset val="134"/>
    </font>
    <font>
      <sz val="10"/>
      <name val="宋体"/>
      <charset val="134"/>
    </font>
    <font>
      <sz val="11"/>
      <color theme="1"/>
      <name val="仿宋"/>
      <charset val="134"/>
    </font>
    <font>
      <sz val="10"/>
      <name val="宋体"/>
      <charset val="0"/>
    </font>
    <font>
      <sz val="11"/>
      <color rgb="FF000000"/>
      <name val="仿宋"/>
      <charset val="134"/>
    </font>
    <font>
      <sz val="18"/>
      <name val="方正小标宋简体"/>
      <charset val="134"/>
    </font>
    <font>
      <b/>
      <sz val="14"/>
      <name val="宋体"/>
      <charset val="134"/>
    </font>
    <font>
      <sz val="14"/>
      <name val="宋体"/>
      <charset val="134"/>
    </font>
    <font>
      <sz val="14"/>
      <color indexed="8"/>
      <name val="宋体"/>
      <charset val="134"/>
    </font>
    <font>
      <sz val="14"/>
      <name val="Times New Roman"/>
      <charset val="134"/>
    </font>
    <font>
      <sz val="12"/>
      <name val="黑体"/>
      <charset val="134"/>
    </font>
    <font>
      <sz val="18"/>
      <name val="方正小标宋_GBK"/>
      <charset val="134"/>
    </font>
    <font>
      <b/>
      <sz val="10"/>
      <name val="宋体"/>
      <charset val="134"/>
    </font>
    <font>
      <sz val="10"/>
      <name val="仿宋_GB2312"/>
      <charset val="134"/>
    </font>
    <font>
      <b/>
      <sz val="10"/>
      <name val="仿宋_GB2312"/>
      <charset val="134"/>
    </font>
    <font>
      <sz val="16"/>
      <color indexed="8"/>
      <name val="方正小标宋_GBK"/>
      <charset val="134"/>
    </font>
    <font>
      <sz val="12"/>
      <color indexed="8"/>
      <name val="仿宋_GB2312"/>
      <charset val="134"/>
    </font>
    <font>
      <sz val="12"/>
      <color indexed="8"/>
      <name val="Times New Roman"/>
      <charset val="0"/>
    </font>
    <font>
      <sz val="12"/>
      <name val="Times New Roman"/>
      <charset val="0"/>
    </font>
    <font>
      <sz val="10"/>
      <color indexed="8"/>
      <name val="仿宋_GB2312"/>
      <charset val="134"/>
    </font>
    <font>
      <b/>
      <sz val="12"/>
      <color indexed="8"/>
      <name val="Times New Roman"/>
      <charset val="0"/>
    </font>
    <font>
      <sz val="11"/>
      <name val="仿宋_GB2312"/>
      <charset val="134"/>
    </font>
    <font>
      <b/>
      <sz val="12"/>
      <name val="仿宋_GB2312"/>
      <charset val="134"/>
    </font>
    <font>
      <sz val="12"/>
      <name val="仿宋_GB2312"/>
      <charset val="134"/>
    </font>
    <font>
      <sz val="18"/>
      <color indexed="8"/>
      <name val="方正小标宋_GBK"/>
      <charset val="134"/>
    </font>
    <font>
      <sz val="16"/>
      <name val="方正小标宋_GBK"/>
      <charset val="134"/>
    </font>
    <font>
      <sz val="10"/>
      <name val="??"/>
      <charset val="134"/>
    </font>
    <font>
      <sz val="22"/>
      <name val="方正小标宋_GBK"/>
      <charset val="134"/>
    </font>
    <font>
      <b/>
      <sz val="16"/>
      <color indexed="8"/>
      <name val="宋体"/>
      <charset val="134"/>
    </font>
    <font>
      <sz val="16"/>
      <color indexed="8"/>
      <name val="宋体"/>
      <charset val="134"/>
    </font>
    <font>
      <sz val="16"/>
      <name val="宋体"/>
      <charset val="134"/>
    </font>
    <font>
      <b/>
      <sz val="18"/>
      <name val="Times New Roman"/>
      <charset val="134"/>
    </font>
    <font>
      <b/>
      <sz val="10"/>
      <color indexed="8"/>
      <name val="宋体"/>
      <charset val="0"/>
    </font>
    <font>
      <sz val="10"/>
      <name val="Times New Roman"/>
      <charset val="134"/>
    </font>
    <font>
      <sz val="10"/>
      <color indexed="8"/>
      <name val="宋体"/>
      <charset val="0"/>
    </font>
    <font>
      <b/>
      <sz val="18"/>
      <color rgb="FF000000"/>
      <name val="Times New Roman"/>
      <charset val="134"/>
    </font>
    <font>
      <sz val="11"/>
      <color rgb="FF000000"/>
      <name val="宋体"/>
      <charset val="134"/>
    </font>
    <font>
      <b/>
      <sz val="9"/>
      <color indexed="8"/>
      <name val="宋体"/>
      <charset val="0"/>
    </font>
    <font>
      <sz val="18"/>
      <color rgb="FF000000"/>
      <name val="Times New Roman"/>
      <charset val="134"/>
    </font>
    <font>
      <b/>
      <sz val="16"/>
      <name val="Times New Roman"/>
      <charset val="0"/>
    </font>
    <font>
      <sz val="11"/>
      <name val="Calibri"/>
      <charset val="0"/>
    </font>
    <font>
      <sz val="8"/>
      <name val="宋体"/>
      <charset val="0"/>
    </font>
    <font>
      <sz val="8"/>
      <name val="宋体"/>
      <charset val="134"/>
    </font>
    <font>
      <sz val="28"/>
      <name val="方正小标宋_GBK"/>
      <charset val="134"/>
    </font>
    <font>
      <sz val="16"/>
      <color indexed="8"/>
      <name val="黑体"/>
      <charset val="134"/>
    </font>
    <font>
      <b/>
      <sz val="16"/>
      <name val="宋体"/>
      <charset val="134"/>
    </font>
    <font>
      <sz val="11"/>
      <color indexed="8"/>
      <name val="黑体"/>
      <charset val="134"/>
    </font>
    <font>
      <b/>
      <sz val="11"/>
      <color indexed="8"/>
      <name val="Times New Roman"/>
      <charset val="0"/>
    </font>
    <font>
      <b/>
      <sz val="11"/>
      <color rgb="FF000000"/>
      <name val="Times New Roman"/>
      <charset val="0"/>
    </font>
    <font>
      <b/>
      <sz val="11"/>
      <name val="Times New Roman"/>
      <charset val="0"/>
    </font>
    <font>
      <b/>
      <sz val="11"/>
      <color rgb="FF000000"/>
      <name val="宋体"/>
      <charset val="134"/>
    </font>
    <font>
      <b/>
      <sz val="10"/>
      <color indexed="8"/>
      <name val="黑体"/>
      <charset val="134"/>
    </font>
    <font>
      <sz val="10"/>
      <color indexed="8"/>
      <name val="Times New Roman"/>
      <charset val="0"/>
    </font>
    <font>
      <sz val="10"/>
      <color indexed="8"/>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9"/>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17"/>
      <name val="宋体"/>
      <charset val="134"/>
    </font>
    <font>
      <sz val="11"/>
      <color indexed="20"/>
      <name val="宋体"/>
      <charset val="134"/>
    </font>
    <font>
      <sz val="10"/>
      <name val="Helv"/>
      <charset val="134"/>
    </font>
    <font>
      <b/>
      <sz val="11"/>
      <name val="Times New Roman"/>
      <charset val="134"/>
    </font>
    <font>
      <b/>
      <sz val="14"/>
      <name val="Times New Roman"/>
      <charset val="134"/>
    </font>
    <font>
      <b/>
      <sz val="18"/>
      <color rgb="FF000000"/>
      <name val="宋体"/>
      <charset val="134"/>
    </font>
    <font>
      <b/>
      <sz val="18"/>
      <name val="宋体"/>
      <charset val="134"/>
    </font>
    <font>
      <b/>
      <sz val="16"/>
      <name val="宋体"/>
      <charset val="0"/>
    </font>
    <font>
      <b/>
      <sz val="11"/>
      <color indexed="8"/>
      <name val="宋体"/>
      <charset val="134"/>
    </font>
    <font>
      <b/>
      <sz val="11"/>
      <color rgb="FF000000"/>
      <name val="宋体"/>
      <charset val="0"/>
    </font>
  </fonts>
  <fills count="38">
    <fill>
      <patternFill patternType="none"/>
    </fill>
    <fill>
      <patternFill patternType="gray125"/>
    </fill>
    <fill>
      <patternFill patternType="solid">
        <fgColor indexed="9"/>
        <bgColor indexed="64"/>
      </patternFill>
    </fill>
    <fill>
      <patternFill patternType="solid">
        <fgColor rgb="FFFFFFFF"/>
        <bgColor indexed="64"/>
      </patternFill>
    </fill>
    <fill>
      <gradientFill degree="3.60739284548087e-313"/>
    </fill>
    <fill>
      <patternFill patternType="solid">
        <fgColor theme="6" tint="0.799981688894314"/>
        <bgColor indexed="64"/>
      </patternFill>
    </fill>
    <fill>
      <patternFill patternType="solid">
        <fgColor rgb="FFFFCC99"/>
        <bgColor indexed="64"/>
      </patternFill>
    </fill>
    <fill>
      <patternFill patternType="solid">
        <fgColor indexed="27"/>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indexed="4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auto="1"/>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right/>
      <top/>
      <bottom style="thin">
        <color auto="1"/>
      </bottom>
      <diagonal/>
    </border>
    <border>
      <left style="thin">
        <color indexed="8"/>
      </left>
      <right/>
      <top style="thin">
        <color auto="1"/>
      </top>
      <bottom style="thin">
        <color indexed="8"/>
      </bottom>
      <diagonal/>
    </border>
    <border>
      <left style="thin">
        <color indexed="8"/>
      </left>
      <right style="thin">
        <color indexed="8"/>
      </right>
      <top/>
      <bottom style="thin">
        <color indexed="8"/>
      </bottom>
      <diagonal/>
    </border>
    <border>
      <left/>
      <right/>
      <top style="thin">
        <color auto="1"/>
      </top>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style="thin">
        <color auto="1"/>
      </right>
      <top style="thin">
        <color indexed="8"/>
      </top>
      <bottom/>
      <diagonal/>
    </border>
    <border>
      <left/>
      <right style="thin">
        <color auto="1"/>
      </right>
      <top style="thin">
        <color indexed="8"/>
      </top>
      <bottom style="thin">
        <color indexed="8"/>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76" fillId="5" borderId="0" applyNumberFormat="0" applyBorder="0" applyAlignment="0" applyProtection="0">
      <alignment vertical="center"/>
    </xf>
    <xf numFmtId="0" fontId="77" fillId="6" borderId="2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Protection="0">
      <alignment vertical="center"/>
    </xf>
    <xf numFmtId="0" fontId="76" fillId="8" borderId="0" applyNumberFormat="0" applyBorder="0" applyAlignment="0" applyProtection="0">
      <alignment vertical="center"/>
    </xf>
    <xf numFmtId="0" fontId="78" fillId="9" borderId="0" applyNumberFormat="0" applyBorder="0" applyAlignment="0" applyProtection="0">
      <alignment vertical="center"/>
    </xf>
    <xf numFmtId="43" fontId="0" fillId="0" borderId="0" applyFont="0" applyFill="0" applyBorder="0" applyAlignment="0" applyProtection="0">
      <alignment vertical="center"/>
    </xf>
    <xf numFmtId="0" fontId="79" fillId="10" borderId="0" applyNumberFormat="0" applyBorder="0" applyAlignment="0" applyProtection="0">
      <alignment vertical="center"/>
    </xf>
    <xf numFmtId="0" fontId="80" fillId="0" borderId="0" applyNumberFormat="0" applyFill="0" applyBorder="0" applyAlignment="0" applyProtection="0">
      <alignment vertical="center"/>
    </xf>
    <xf numFmtId="0" fontId="81" fillId="0" borderId="0"/>
    <xf numFmtId="9" fontId="0" fillId="0" borderId="0" applyFont="0" applyFill="0" applyBorder="0" applyAlignment="0" applyProtection="0">
      <alignment vertical="center"/>
    </xf>
    <xf numFmtId="0" fontId="82" fillId="0" borderId="0" applyNumberFormat="0" applyFill="0" applyBorder="0" applyAlignment="0" applyProtection="0">
      <alignment vertical="center"/>
    </xf>
    <xf numFmtId="0" fontId="0" fillId="11" borderId="29" applyNumberFormat="0" applyFont="0" applyAlignment="0" applyProtection="0">
      <alignment vertical="center"/>
    </xf>
    <xf numFmtId="0" fontId="79" fillId="12" borderId="0" applyNumberFormat="0" applyBorder="0" applyAlignment="0" applyProtection="0">
      <alignment vertical="center"/>
    </xf>
    <xf numFmtId="0" fontId="83" fillId="0" borderId="0" applyNumberFormat="0" applyFill="0" applyBorder="0" applyAlignment="0" applyProtection="0">
      <alignment vertical="center"/>
    </xf>
    <xf numFmtId="0" fontId="84"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30" applyNumberFormat="0" applyFill="0" applyAlignment="0" applyProtection="0">
      <alignment vertical="center"/>
    </xf>
    <xf numFmtId="0" fontId="88" fillId="0" borderId="30" applyNumberFormat="0" applyFill="0" applyAlignment="0" applyProtection="0">
      <alignment vertical="center"/>
    </xf>
    <xf numFmtId="0" fontId="79" fillId="13" borderId="0" applyNumberFormat="0" applyBorder="0" applyAlignment="0" applyProtection="0">
      <alignment vertical="center"/>
    </xf>
    <xf numFmtId="0" fontId="83" fillId="0" borderId="31" applyNumberFormat="0" applyFill="0" applyAlignment="0" applyProtection="0">
      <alignment vertical="center"/>
    </xf>
    <xf numFmtId="0" fontId="79" fillId="14" borderId="0" applyNumberFormat="0" applyBorder="0" applyAlignment="0" applyProtection="0">
      <alignment vertical="center"/>
    </xf>
    <xf numFmtId="0" fontId="89" fillId="15" borderId="32" applyNumberFormat="0" applyAlignment="0" applyProtection="0">
      <alignment vertical="center"/>
    </xf>
    <xf numFmtId="0" fontId="90" fillId="15" borderId="28" applyNumberFormat="0" applyAlignment="0" applyProtection="0">
      <alignment vertical="center"/>
    </xf>
    <xf numFmtId="0" fontId="91" fillId="16" borderId="33" applyNumberFormat="0" applyAlignment="0" applyProtection="0">
      <alignment vertical="center"/>
    </xf>
    <xf numFmtId="0" fontId="76" fillId="17" borderId="0" applyNumberFormat="0" applyBorder="0" applyAlignment="0" applyProtection="0">
      <alignment vertical="center"/>
    </xf>
    <xf numFmtId="0" fontId="79" fillId="18" borderId="0" applyNumberFormat="0" applyBorder="0" applyAlignment="0" applyProtection="0">
      <alignment vertical="center"/>
    </xf>
    <xf numFmtId="0" fontId="92" fillId="0" borderId="34" applyNumberFormat="0" applyFill="0" applyAlignment="0" applyProtection="0">
      <alignment vertical="center"/>
    </xf>
    <xf numFmtId="0" fontId="93" fillId="0" borderId="35" applyNumberFormat="0" applyFill="0" applyAlignment="0" applyProtection="0">
      <alignment vertical="center"/>
    </xf>
    <xf numFmtId="0" fontId="94" fillId="19" borderId="0" applyNumberFormat="0" applyBorder="0" applyAlignment="0" applyProtection="0">
      <alignment vertical="center"/>
    </xf>
    <xf numFmtId="0" fontId="95" fillId="20" borderId="0" applyNumberFormat="0" applyBorder="0" applyAlignment="0" applyProtection="0">
      <alignment vertical="center"/>
    </xf>
    <xf numFmtId="0" fontId="76" fillId="21" borderId="0" applyNumberFormat="0" applyBorder="0" applyAlignment="0" applyProtection="0">
      <alignment vertical="center"/>
    </xf>
    <xf numFmtId="0" fontId="79" fillId="22" borderId="0" applyNumberFormat="0" applyBorder="0" applyAlignment="0" applyProtection="0">
      <alignment vertical="center"/>
    </xf>
    <xf numFmtId="0" fontId="96" fillId="7" borderId="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6" fillId="25" borderId="0" applyNumberFormat="0" applyBorder="0" applyAlignment="0" applyProtection="0">
      <alignment vertical="center"/>
    </xf>
    <xf numFmtId="0" fontId="76" fillId="26" borderId="0" applyNumberFormat="0" applyBorder="0" applyAlignment="0" applyProtection="0">
      <alignment vertical="center"/>
    </xf>
    <xf numFmtId="0" fontId="79" fillId="27" borderId="0" applyNumberFormat="0" applyBorder="0" applyAlignment="0" applyProtection="0">
      <alignment vertical="center"/>
    </xf>
    <xf numFmtId="0" fontId="79" fillId="28" borderId="0" applyNumberFormat="0" applyBorder="0" applyAlignment="0" applyProtection="0">
      <alignment vertical="center"/>
    </xf>
    <xf numFmtId="0" fontId="76" fillId="29" borderId="0" applyNumberFormat="0" applyBorder="0" applyAlignment="0" applyProtection="0">
      <alignment vertical="center"/>
    </xf>
    <xf numFmtId="0" fontId="76" fillId="30" borderId="0" applyNumberFormat="0" applyBorder="0" applyAlignment="0" applyProtection="0">
      <alignment vertical="center"/>
    </xf>
    <xf numFmtId="0" fontId="79" fillId="31" borderId="0" applyNumberFormat="0" applyBorder="0" applyAlignment="0" applyProtection="0">
      <alignment vertical="center"/>
    </xf>
    <xf numFmtId="0" fontId="11" fillId="0" borderId="0"/>
    <xf numFmtId="0" fontId="97" fillId="32" borderId="0" applyProtection="0">
      <alignment vertical="center"/>
    </xf>
    <xf numFmtId="0" fontId="76" fillId="33" borderId="0" applyNumberFormat="0" applyBorder="0" applyAlignment="0" applyProtection="0">
      <alignment vertical="center"/>
    </xf>
    <xf numFmtId="0" fontId="79" fillId="34" borderId="0" applyNumberFormat="0" applyBorder="0" applyAlignment="0" applyProtection="0">
      <alignment vertical="center"/>
    </xf>
    <xf numFmtId="0" fontId="79" fillId="35" borderId="0" applyNumberFormat="0" applyBorder="0" applyAlignment="0" applyProtection="0">
      <alignment vertical="center"/>
    </xf>
    <xf numFmtId="0" fontId="76" fillId="36" borderId="0" applyNumberFormat="0" applyBorder="0" applyAlignment="0" applyProtection="0">
      <alignment vertical="center"/>
    </xf>
    <xf numFmtId="0" fontId="79" fillId="37" borderId="0" applyNumberFormat="0" applyBorder="0" applyAlignment="0" applyProtection="0">
      <alignment vertical="center"/>
    </xf>
    <xf numFmtId="0" fontId="98" fillId="0" borderId="0"/>
    <xf numFmtId="0" fontId="0" fillId="0" borderId="0"/>
  </cellStyleXfs>
  <cellXfs count="339">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1" fillId="0" borderId="0" xfId="0" applyNumberFormat="1" applyFont="1" applyFill="1" applyBorder="1" applyAlignment="1" applyProtection="1">
      <alignment vertical="center" wrapText="1"/>
    </xf>
    <xf numFmtId="0" fontId="2" fillId="0" borderId="0" xfId="0" applyFont="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7" xfId="0" applyBorder="1" applyAlignment="1">
      <alignment horizontal="center" vertical="center"/>
    </xf>
    <xf numFmtId="0" fontId="0" fillId="0" borderId="7" xfId="0" applyBorder="1" applyAlignment="1">
      <alignment horizontal="center" vertical="center" wrapText="1"/>
    </xf>
    <xf numFmtId="0" fontId="0" fillId="0" borderId="6" xfId="0" applyBorder="1" applyAlignment="1">
      <alignment horizontal="center" vertical="center"/>
    </xf>
    <xf numFmtId="0" fontId="0" fillId="0" borderId="0" xfId="0" applyAlignment="1">
      <alignment horizontal="lef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3" fillId="0" borderId="0" xfId="0" applyFont="1" applyFill="1" applyAlignment="1">
      <alignment horizontal="right" vertical="center"/>
    </xf>
    <xf numFmtId="0" fontId="4" fillId="0" borderId="6" xfId="0" applyNumberFormat="1" applyFont="1" applyFill="1" applyBorder="1" applyAlignment="1" applyProtection="1">
      <alignment horizontal="center" vertical="center" wrapText="1" shrinkToFit="1"/>
    </xf>
    <xf numFmtId="0" fontId="4" fillId="0" borderId="6" xfId="0" applyNumberFormat="1" applyFont="1" applyFill="1" applyBorder="1" applyAlignment="1" applyProtection="1">
      <alignment horizontal="center" vertical="center"/>
    </xf>
    <xf numFmtId="0" fontId="4" fillId="0" borderId="6" xfId="0" applyNumberFormat="1" applyFont="1" applyFill="1" applyBorder="1" applyAlignment="1" applyProtection="1">
      <alignment horizontal="center" vertical="center" wrapText="1"/>
    </xf>
    <xf numFmtId="176" fontId="7" fillId="0" borderId="6" xfId="0" applyNumberFormat="1" applyFont="1" applyFill="1" applyBorder="1" applyAlignment="1" applyProtection="1">
      <alignment horizontal="center" vertical="center" wrapText="1"/>
    </xf>
    <xf numFmtId="176" fontId="4" fillId="0" borderId="6" xfId="0" applyNumberFormat="1" applyFont="1" applyFill="1" applyBorder="1" applyAlignment="1" applyProtection="1">
      <alignment horizontal="center" vertical="center" wrapText="1"/>
    </xf>
    <xf numFmtId="0" fontId="3" fillId="0" borderId="6" xfId="0" applyNumberFormat="1" applyFont="1" applyFill="1" applyBorder="1" applyAlignment="1" applyProtection="1">
      <alignment horizontal="center" vertical="center" wrapText="1" shrinkToFit="1"/>
    </xf>
    <xf numFmtId="176" fontId="8" fillId="0" borderId="6" xfId="0" applyNumberFormat="1" applyFont="1" applyFill="1" applyBorder="1" applyAlignment="1" applyProtection="1">
      <alignment horizontal="right" vertical="center"/>
    </xf>
    <xf numFmtId="0" fontId="9" fillId="0" borderId="7" xfId="0" applyNumberFormat="1" applyFont="1" applyFill="1" applyBorder="1" applyAlignment="1" applyProtection="1">
      <alignment horizontal="center" vertical="center" wrapText="1"/>
    </xf>
    <xf numFmtId="0" fontId="3" fillId="0" borderId="6" xfId="0" applyNumberFormat="1" applyFont="1" applyFill="1" applyBorder="1" applyAlignment="1" applyProtection="1">
      <alignment vertical="center" wrapText="1" shrinkToFit="1"/>
    </xf>
    <xf numFmtId="0" fontId="8" fillId="0" borderId="6" xfId="0" applyNumberFormat="1" applyFont="1" applyFill="1" applyBorder="1" applyAlignment="1" applyProtection="1">
      <alignment horizontal="left" vertical="center"/>
    </xf>
    <xf numFmtId="0" fontId="8" fillId="0" borderId="6" xfId="0" applyNumberFormat="1" applyFont="1" applyFill="1" applyBorder="1" applyAlignment="1" applyProtection="1">
      <alignment vertical="center"/>
    </xf>
    <xf numFmtId="0" fontId="3" fillId="0" borderId="6" xfId="0" applyNumberFormat="1" applyFont="1" applyFill="1" applyBorder="1" applyAlignment="1" applyProtection="1">
      <alignment vertical="center" wrapText="1"/>
    </xf>
    <xf numFmtId="176" fontId="3" fillId="0" borderId="6" xfId="0" applyNumberFormat="1" applyFont="1" applyFill="1" applyBorder="1" applyAlignment="1" applyProtection="1">
      <alignment vertical="center" wrapText="1"/>
    </xf>
    <xf numFmtId="176" fontId="10" fillId="0" borderId="6" xfId="0" applyNumberFormat="1" applyFont="1" applyFill="1" applyBorder="1" applyAlignment="1" applyProtection="1">
      <alignment horizontal="left" vertical="center" wrapText="1"/>
    </xf>
    <xf numFmtId="176" fontId="9" fillId="0" borderId="6" xfId="0" applyNumberFormat="1" applyFont="1" applyFill="1" applyBorder="1" applyAlignment="1" applyProtection="1">
      <alignment horizontal="left" vertical="center" wrapText="1"/>
    </xf>
    <xf numFmtId="176" fontId="3" fillId="0" borderId="6" xfId="0" applyNumberFormat="1" applyFont="1" applyFill="1" applyBorder="1" applyAlignment="1" applyProtection="1">
      <alignment horizontal="left" vertical="center" wrapText="1"/>
    </xf>
    <xf numFmtId="0" fontId="11" fillId="0" borderId="0" xfId="0" applyFont="1" applyFill="1" applyBorder="1" applyAlignment="1"/>
    <xf numFmtId="0" fontId="12" fillId="0" borderId="0" xfId="0" applyFont="1" applyFill="1" applyBorder="1" applyAlignment="1">
      <alignment vertical="center"/>
    </xf>
    <xf numFmtId="0" fontId="13" fillId="0" borderId="0" xfId="0" applyFont="1" applyFill="1" applyBorder="1" applyAlignment="1">
      <alignment horizontal="right" vertical="center"/>
    </xf>
    <xf numFmtId="0" fontId="14" fillId="0" borderId="6" xfId="0" applyFont="1" applyFill="1" applyBorder="1" applyAlignment="1">
      <alignment horizontal="center" vertical="center"/>
    </xf>
    <xf numFmtId="0" fontId="15" fillId="0" borderId="6" xfId="0" applyFont="1" applyFill="1" applyBorder="1" applyAlignment="1">
      <alignment horizontal="center" vertical="center"/>
    </xf>
    <xf numFmtId="178" fontId="15" fillId="0" borderId="6" xfId="0" applyNumberFormat="1" applyFont="1" applyFill="1" applyBorder="1" applyAlignment="1">
      <alignment horizontal="center" vertical="center"/>
    </xf>
    <xf numFmtId="0" fontId="16" fillId="0" borderId="0"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Font="1" applyFill="1" applyBorder="1" applyAlignment="1" applyProtection="1">
      <alignment horizontal="center" vertical="center"/>
    </xf>
    <xf numFmtId="0" fontId="17" fillId="0" borderId="0" xfId="0" applyFont="1" applyFill="1" applyBorder="1" applyAlignment="1" applyProtection="1">
      <alignment horizontal="right" vertical="center"/>
    </xf>
    <xf numFmtId="0" fontId="17" fillId="0" borderId="8" xfId="0" applyFont="1" applyFill="1" applyBorder="1" applyAlignment="1" applyProtection="1">
      <alignment horizontal="center" vertical="center" wrapText="1"/>
    </xf>
    <xf numFmtId="0" fontId="18" fillId="0" borderId="8" xfId="0" applyFont="1" applyFill="1" applyBorder="1" applyAlignment="1" applyProtection="1">
      <alignment horizontal="center" vertical="center" wrapText="1"/>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49" fontId="17" fillId="0" borderId="8" xfId="0" applyNumberFormat="1" applyFont="1" applyFill="1" applyBorder="1" applyAlignment="1" applyProtection="1">
      <alignment horizontal="left" vertical="center" wrapText="1"/>
    </xf>
    <xf numFmtId="49" fontId="17" fillId="0" borderId="10" xfId="0" applyNumberFormat="1" applyFont="1" applyFill="1" applyBorder="1" applyAlignment="1" applyProtection="1">
      <alignment horizontal="left" vertical="center" wrapText="1"/>
    </xf>
    <xf numFmtId="4" fontId="17" fillId="0" borderId="8" xfId="0" applyNumberFormat="1" applyFont="1" applyFill="1" applyBorder="1" applyAlignment="1" applyProtection="1">
      <alignment horizontal="right" vertical="center" wrapText="1"/>
    </xf>
    <xf numFmtId="4" fontId="18" fillId="0" borderId="11" xfId="0" applyNumberFormat="1" applyFont="1" applyFill="1" applyBorder="1" applyAlignment="1" applyProtection="1">
      <alignment horizontal="right" vertical="center" wrapText="1"/>
    </xf>
    <xf numFmtId="49" fontId="18" fillId="0" borderId="0" xfId="0" applyNumberFormat="1" applyFont="1" applyFill="1" applyBorder="1" applyAlignment="1" applyProtection="1">
      <alignment horizontal="left"/>
    </xf>
    <xf numFmtId="0" fontId="5" fillId="0" borderId="0" xfId="0" applyFont="1" applyFill="1" applyBorder="1" applyAlignment="1">
      <alignment vertical="center"/>
    </xf>
    <xf numFmtId="0" fontId="5" fillId="0" borderId="0" xfId="0" applyFont="1" applyFill="1" applyBorder="1" applyAlignment="1">
      <alignment horizontal="right" vertical="center"/>
    </xf>
    <xf numFmtId="0" fontId="5" fillId="0" borderId="0" xfId="0" applyFont="1" applyFill="1" applyBorder="1" applyAlignment="1">
      <alignment horizontal="center" vertical="center"/>
    </xf>
    <xf numFmtId="0" fontId="0" fillId="0" borderId="0" xfId="0" applyFill="1" applyAlignment="1">
      <alignment vertical="center"/>
    </xf>
    <xf numFmtId="0" fontId="19" fillId="0" borderId="0" xfId="0" applyFont="1" applyFill="1" applyBorder="1" applyAlignment="1">
      <alignment horizontal="center" vertical="center" wrapText="1"/>
    </xf>
    <xf numFmtId="0" fontId="5" fillId="0" borderId="0" xfId="0" applyNumberFormat="1" applyFont="1" applyFill="1" applyBorder="1" applyAlignment="1" applyProtection="1">
      <alignment vertical="center"/>
    </xf>
    <xf numFmtId="0" fontId="5" fillId="0" borderId="0" xfId="0" applyNumberFormat="1" applyFont="1" applyFill="1" applyBorder="1" applyAlignment="1" applyProtection="1">
      <alignment vertical="center" wrapText="1"/>
    </xf>
    <xf numFmtId="0" fontId="5" fillId="0" borderId="0" xfId="0" applyNumberFormat="1" applyFont="1" applyFill="1" applyBorder="1" applyAlignment="1" applyProtection="1">
      <alignment horizontal="right" vertical="center"/>
    </xf>
    <xf numFmtId="0" fontId="5" fillId="0" borderId="0" xfId="0" applyNumberFormat="1" applyFont="1" applyFill="1" applyBorder="1" applyAlignment="1" applyProtection="1">
      <alignment horizontal="left" vertical="center" wrapText="1"/>
    </xf>
    <xf numFmtId="0" fontId="20" fillId="0" borderId="0" xfId="0" applyFont="1" applyFill="1" applyBorder="1" applyAlignment="1">
      <alignment horizontal="right" vertical="center" wrapText="1"/>
    </xf>
    <xf numFmtId="0" fontId="21" fillId="0" borderId="6"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1" fillId="0" borderId="6" xfId="0" applyFont="1" applyFill="1" applyBorder="1" applyAlignment="1">
      <alignment horizontal="left" vertical="center" wrapText="1"/>
    </xf>
    <xf numFmtId="0" fontId="5" fillId="0" borderId="6" xfId="0" applyNumberFormat="1" applyFont="1" applyFill="1" applyBorder="1" applyAlignment="1" applyProtection="1">
      <alignment vertical="center"/>
    </xf>
    <xf numFmtId="0" fontId="23" fillId="0" borderId="6" xfId="0" applyNumberFormat="1" applyFont="1" applyFill="1" applyBorder="1" applyAlignment="1" applyProtection="1">
      <alignment horizontal="left" vertical="center" wrapText="1"/>
    </xf>
    <xf numFmtId="0" fontId="23" fillId="0" borderId="6" xfId="0" applyNumberFormat="1" applyFont="1" applyFill="1" applyBorder="1" applyAlignment="1" applyProtection="1">
      <alignment vertical="center" wrapText="1"/>
    </xf>
    <xf numFmtId="176" fontId="5" fillId="0" borderId="6" xfId="0" applyNumberFormat="1" applyFont="1" applyFill="1" applyBorder="1" applyAlignment="1" applyProtection="1">
      <alignment horizontal="right" vertical="center"/>
    </xf>
    <xf numFmtId="176" fontId="23" fillId="0" borderId="6" xfId="0" applyNumberFormat="1" applyFont="1" applyFill="1" applyBorder="1" applyAlignment="1" applyProtection="1">
      <alignment horizontal="left" vertical="center" wrapText="1"/>
    </xf>
    <xf numFmtId="0" fontId="24" fillId="0" borderId="6" xfId="0" applyFont="1" applyFill="1" applyBorder="1" applyAlignment="1">
      <alignment vertical="center" wrapText="1"/>
    </xf>
    <xf numFmtId="176" fontId="25" fillId="0" borderId="6" xfId="0" applyNumberFormat="1" applyFont="1" applyFill="1" applyBorder="1" applyAlignment="1" applyProtection="1">
      <alignment horizontal="left" vertical="center" wrapText="1"/>
    </xf>
    <xf numFmtId="176" fontId="5" fillId="0" borderId="6" xfId="0" applyNumberFormat="1" applyFont="1" applyFill="1" applyBorder="1" applyAlignment="1" applyProtection="1">
      <alignment horizontal="left" vertical="center" wrapText="1"/>
    </xf>
    <xf numFmtId="0" fontId="26"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0" borderId="6" xfId="0" applyNumberFormat="1" applyFont="1" applyFill="1" applyBorder="1" applyAlignment="1" applyProtection="1">
      <alignment vertical="center" wrapText="1"/>
    </xf>
    <xf numFmtId="0" fontId="0" fillId="0" borderId="6" xfId="0" applyFill="1" applyBorder="1" applyAlignment="1">
      <alignment horizontal="center" vertical="center"/>
    </xf>
    <xf numFmtId="0" fontId="0" fillId="0" borderId="6" xfId="0" applyFill="1" applyBorder="1" applyAlignment="1">
      <alignment vertical="center"/>
    </xf>
    <xf numFmtId="0" fontId="27" fillId="0" borderId="0" xfId="47" applyFont="1" applyAlignment="1">
      <alignment horizontal="center" vertical="center"/>
    </xf>
    <xf numFmtId="0" fontId="11" fillId="0" borderId="0" xfId="47" applyFont="1" applyAlignment="1">
      <alignment vertical="center"/>
    </xf>
    <xf numFmtId="0" fontId="11" fillId="0" borderId="0" xfId="47" applyFont="1" applyAlignment="1">
      <alignment horizontal="right" vertical="center"/>
    </xf>
    <xf numFmtId="0" fontId="28" fillId="0" borderId="6" xfId="47" applyFont="1" applyBorder="1" applyAlignment="1">
      <alignment horizontal="center" vertical="center"/>
    </xf>
    <xf numFmtId="0" fontId="28" fillId="0" borderId="1" xfId="47" applyFont="1" applyBorder="1" applyAlignment="1">
      <alignment horizontal="center" vertical="center" wrapText="1"/>
    </xf>
    <xf numFmtId="49" fontId="28" fillId="0" borderId="6" xfId="47" applyNumberFormat="1" applyFont="1" applyBorder="1" applyAlignment="1">
      <alignment horizontal="center" vertical="center" wrapText="1"/>
    </xf>
    <xf numFmtId="0" fontId="29" fillId="0" borderId="6" xfId="47" applyFont="1" applyBorder="1" applyAlignment="1">
      <alignment vertical="center"/>
    </xf>
    <xf numFmtId="0" fontId="28" fillId="0" borderId="6" xfId="47" applyFont="1" applyBorder="1" applyAlignment="1">
      <alignment horizontal="right" vertical="center"/>
    </xf>
    <xf numFmtId="0" fontId="29" fillId="0" borderId="6" xfId="47" applyFont="1" applyBorder="1" applyAlignment="1">
      <alignment horizontal="right" vertical="center"/>
    </xf>
    <xf numFmtId="0" fontId="30" fillId="0" borderId="0" xfId="0" applyFont="1" applyFill="1" applyAlignment="1">
      <alignment vertical="center"/>
    </xf>
    <xf numFmtId="0" fontId="28" fillId="0" borderId="2" xfId="47" applyFont="1" applyBorder="1" applyAlignment="1">
      <alignment horizontal="center" vertical="center"/>
    </xf>
    <xf numFmtId="0" fontId="28" fillId="0" borderId="4" xfId="47" applyFont="1" applyBorder="1" applyAlignment="1">
      <alignment horizontal="center" vertical="center"/>
    </xf>
    <xf numFmtId="0" fontId="31" fillId="0" borderId="6" xfId="47" applyFont="1" applyBorder="1" applyAlignment="1">
      <alignment vertical="center"/>
    </xf>
    <xf numFmtId="0" fontId="31" fillId="0" borderId="6" xfId="47" applyFont="1" applyBorder="1" applyAlignment="1">
      <alignment vertical="center" shrinkToFit="1"/>
    </xf>
    <xf numFmtId="0" fontId="27" fillId="2" borderId="0" xfId="54" applyFont="1" applyFill="1" applyAlignment="1">
      <alignment horizontal="center" vertical="center"/>
    </xf>
    <xf numFmtId="0" fontId="32" fillId="2" borderId="0" xfId="54" applyFont="1" applyFill="1" applyAlignment="1">
      <alignment vertical="center"/>
    </xf>
    <xf numFmtId="0" fontId="11" fillId="2" borderId="0" xfId="54" applyFont="1" applyFill="1" applyAlignment="1">
      <alignment vertical="center"/>
    </xf>
    <xf numFmtId="0" fontId="23" fillId="2" borderId="0" xfId="54" applyFont="1" applyFill="1" applyAlignment="1">
      <alignment horizontal="right" vertical="center"/>
    </xf>
    <xf numFmtId="0" fontId="28" fillId="2" borderId="2" xfId="54" applyFont="1" applyFill="1" applyBorder="1" applyAlignment="1">
      <alignment horizontal="center" vertical="center"/>
    </xf>
    <xf numFmtId="0" fontId="28" fillId="2" borderId="3" xfId="54" applyFont="1" applyFill="1" applyBorder="1" applyAlignment="1">
      <alignment horizontal="center" vertical="center"/>
    </xf>
    <xf numFmtId="0" fontId="28" fillId="2" borderId="6" xfId="54" applyFont="1" applyFill="1" applyBorder="1" applyAlignment="1">
      <alignment horizontal="center" vertical="center"/>
    </xf>
    <xf numFmtId="0" fontId="28" fillId="2" borderId="6" xfId="54" applyNumberFormat="1" applyFont="1" applyFill="1" applyBorder="1" applyAlignment="1">
      <alignment horizontal="center" vertical="center" wrapText="1"/>
    </xf>
    <xf numFmtId="3" fontId="29" fillId="2" borderId="6" xfId="54" applyNumberFormat="1" applyFont="1" applyFill="1" applyBorder="1" applyAlignment="1" applyProtection="1">
      <alignment vertical="center"/>
    </xf>
    <xf numFmtId="0" fontId="29" fillId="2" borderId="6" xfId="54" applyNumberFormat="1" applyFont="1" applyFill="1" applyBorder="1" applyAlignment="1" applyProtection="1">
      <alignment vertical="center"/>
      <protection locked="0"/>
    </xf>
    <xf numFmtId="0" fontId="29" fillId="2" borderId="6" xfId="54" applyFont="1" applyFill="1" applyBorder="1" applyAlignment="1">
      <alignment vertical="center"/>
    </xf>
    <xf numFmtId="0" fontId="29" fillId="2" borderId="6" xfId="54" applyFont="1" applyFill="1" applyBorder="1" applyAlignment="1">
      <alignment horizontal="left" vertical="center"/>
    </xf>
    <xf numFmtId="0" fontId="29" fillId="2" borderId="6" xfId="54" applyFont="1" applyFill="1" applyBorder="1" applyAlignment="1">
      <alignment horizontal="center" vertical="center"/>
    </xf>
    <xf numFmtId="0" fontId="30" fillId="0" borderId="0" xfId="0" applyNumberFormat="1" applyFont="1" applyFill="1" applyAlignment="1">
      <alignment horizontal="left" vertical="top" wrapText="1"/>
    </xf>
    <xf numFmtId="0" fontId="33" fillId="2" borderId="0" xfId="54" applyFont="1" applyFill="1" applyAlignment="1">
      <alignment horizontal="center" vertical="center"/>
    </xf>
    <xf numFmtId="0" fontId="33" fillId="2" borderId="0" xfId="54" applyFont="1" applyFill="1" applyAlignment="1">
      <alignment vertical="center"/>
    </xf>
    <xf numFmtId="0" fontId="11" fillId="2" borderId="0" xfId="54" applyFont="1" applyFill="1" applyAlignment="1">
      <alignment horizontal="right" vertical="center"/>
    </xf>
    <xf numFmtId="0" fontId="34" fillId="0" borderId="6" xfId="0" applyNumberFormat="1" applyFont="1" applyFill="1" applyBorder="1" applyAlignment="1" applyProtection="1">
      <alignment horizontal="center" vertical="center"/>
    </xf>
    <xf numFmtId="0" fontId="34" fillId="0" borderId="6" xfId="0" applyNumberFormat="1" applyFont="1" applyFill="1" applyBorder="1" applyAlignment="1" applyProtection="1">
      <alignment horizontal="center" vertical="center" shrinkToFit="1"/>
    </xf>
    <xf numFmtId="0" fontId="23" fillId="0" borderId="6" xfId="0" applyNumberFormat="1" applyFont="1" applyFill="1" applyBorder="1" applyAlignment="1" applyProtection="1">
      <alignment horizontal="left" vertical="center"/>
    </xf>
    <xf numFmtId="0" fontId="34" fillId="0" borderId="2" xfId="0" applyNumberFormat="1" applyFont="1" applyFill="1" applyBorder="1" applyAlignment="1" applyProtection="1">
      <alignment horizontal="left" vertical="center" shrinkToFit="1"/>
    </xf>
    <xf numFmtId="3" fontId="23" fillId="0" borderId="6" xfId="0" applyNumberFormat="1" applyFont="1" applyFill="1" applyBorder="1" applyAlignment="1" applyProtection="1">
      <alignment horizontal="right" vertical="center"/>
    </xf>
    <xf numFmtId="0" fontId="23" fillId="0" borderId="2" xfId="0" applyNumberFormat="1" applyFont="1" applyFill="1" applyBorder="1" applyAlignment="1" applyProtection="1">
      <alignment horizontal="left" vertical="center" shrinkToFit="1"/>
    </xf>
    <xf numFmtId="0" fontId="3" fillId="0" borderId="2" xfId="0" applyNumberFormat="1" applyFont="1" applyFill="1" applyBorder="1" applyAlignment="1" applyProtection="1">
      <alignment horizontal="left" vertical="center" shrinkToFit="1"/>
    </xf>
    <xf numFmtId="0" fontId="34" fillId="0" borderId="6" xfId="0" applyNumberFormat="1" applyFont="1" applyFill="1" applyBorder="1" applyAlignment="1" applyProtection="1">
      <alignment horizontal="left" vertical="center" shrinkToFit="1"/>
    </xf>
    <xf numFmtId="0" fontId="23" fillId="0" borderId="6" xfId="0" applyNumberFormat="1" applyFont="1" applyFill="1" applyBorder="1" applyAlignment="1" applyProtection="1">
      <alignment horizontal="left" vertical="center" shrinkToFit="1"/>
    </xf>
    <xf numFmtId="0" fontId="23" fillId="2" borderId="6" xfId="54" applyFont="1" applyFill="1" applyBorder="1" applyAlignment="1">
      <alignment horizontal="center" vertical="center"/>
    </xf>
    <xf numFmtId="0" fontId="23" fillId="2" borderId="6" xfId="54" applyFont="1" applyFill="1" applyBorder="1" applyAlignment="1">
      <alignment horizontal="center" vertical="center" shrinkToFit="1"/>
    </xf>
    <xf numFmtId="0" fontId="11" fillId="0" borderId="6" xfId="0" applyFont="1" applyFill="1" applyBorder="1" applyAlignment="1"/>
    <xf numFmtId="0" fontId="23" fillId="2" borderId="6" xfId="54" applyFont="1" applyFill="1" applyBorder="1" applyAlignment="1">
      <alignment vertical="center" shrinkToFit="1"/>
    </xf>
    <xf numFmtId="3" fontId="34" fillId="0" borderId="6" xfId="0" applyNumberFormat="1" applyFont="1" applyFill="1" applyBorder="1" applyAlignment="1" applyProtection="1">
      <alignment horizontal="right" vertical="center"/>
    </xf>
    <xf numFmtId="0" fontId="35" fillId="0" borderId="0" xfId="0" applyFont="1" applyFill="1" applyBorder="1" applyAlignment="1"/>
    <xf numFmtId="0" fontId="36" fillId="0" borderId="0" xfId="0" applyFont="1" applyFill="1" applyBorder="1" applyAlignment="1"/>
    <xf numFmtId="0" fontId="37" fillId="2" borderId="0" xfId="0" applyNumberFormat="1" applyFont="1" applyFill="1" applyBorder="1" applyAlignment="1" applyProtection="1">
      <alignment horizontal="center" vertical="center"/>
    </xf>
    <xf numFmtId="0" fontId="38" fillId="2" borderId="12" xfId="0" applyNumberFormat="1" applyFont="1" applyFill="1" applyBorder="1" applyAlignment="1" applyProtection="1">
      <alignment vertical="center"/>
    </xf>
    <xf numFmtId="0" fontId="38" fillId="2" borderId="12" xfId="0" applyNumberFormat="1" applyFont="1" applyFill="1" applyBorder="1" applyAlignment="1" applyProtection="1">
      <alignment horizontal="right" vertical="center"/>
    </xf>
    <xf numFmtId="0" fontId="38" fillId="2" borderId="12" xfId="0" applyNumberFormat="1" applyFont="1" applyFill="1" applyBorder="1" applyAlignment="1" applyProtection="1">
      <alignment horizontal="center" vertical="center"/>
    </xf>
    <xf numFmtId="0" fontId="14" fillId="2" borderId="8" xfId="0" applyNumberFormat="1" applyFont="1" applyFill="1" applyBorder="1" applyAlignment="1" applyProtection="1">
      <alignment horizontal="center" vertical="center"/>
    </xf>
    <xf numFmtId="0" fontId="38" fillId="2" borderId="8" xfId="0" applyNumberFormat="1" applyFont="1" applyFill="1" applyBorder="1" applyAlignment="1" applyProtection="1">
      <alignment vertical="center"/>
    </xf>
    <xf numFmtId="179" fontId="39" fillId="2" borderId="8" xfId="0" applyNumberFormat="1" applyFont="1" applyFill="1" applyBorder="1" applyAlignment="1" applyProtection="1">
      <alignment horizontal="right" vertical="center"/>
    </xf>
    <xf numFmtId="179" fontId="39" fillId="2" borderId="13" xfId="0" applyNumberFormat="1" applyFont="1" applyFill="1" applyBorder="1" applyAlignment="1" applyProtection="1">
      <alignment horizontal="right" vertical="center"/>
    </xf>
    <xf numFmtId="179" fontId="39" fillId="2" borderId="6" xfId="0" applyNumberFormat="1" applyFont="1" applyFill="1" applyBorder="1" applyAlignment="1" applyProtection="1">
      <alignment horizontal="right" vertical="center"/>
    </xf>
    <xf numFmtId="179" fontId="40" fillId="2" borderId="6" xfId="0" applyNumberFormat="1" applyFont="1" applyFill="1" applyBorder="1" applyAlignment="1" applyProtection="1">
      <alignment horizontal="right" vertical="center"/>
    </xf>
    <xf numFmtId="0" fontId="38" fillId="2" borderId="14" xfId="0" applyNumberFormat="1" applyFont="1" applyFill="1" applyBorder="1" applyAlignment="1" applyProtection="1">
      <alignment horizontal="center" vertical="center"/>
    </xf>
    <xf numFmtId="179" fontId="39" fillId="2" borderId="15" xfId="0" applyNumberFormat="1" applyFont="1" applyFill="1" applyBorder="1" applyAlignment="1" applyProtection="1">
      <alignment horizontal="right" vertical="center"/>
    </xf>
    <xf numFmtId="0" fontId="38" fillId="2" borderId="6" xfId="0" applyNumberFormat="1" applyFont="1" applyFill="1" applyBorder="1" applyAlignment="1" applyProtection="1">
      <alignment vertical="center"/>
    </xf>
    <xf numFmtId="0" fontId="41" fillId="2" borderId="6" xfId="0" applyNumberFormat="1" applyFont="1" applyFill="1" applyBorder="1" applyAlignment="1" applyProtection="1">
      <alignment vertical="center"/>
    </xf>
    <xf numFmtId="0" fontId="38" fillId="2" borderId="16" xfId="0" applyNumberFormat="1" applyFont="1" applyFill="1" applyBorder="1" applyAlignment="1" applyProtection="1">
      <alignment vertical="center"/>
    </xf>
    <xf numFmtId="179" fontId="39" fillId="3" borderId="16" xfId="0" applyNumberFormat="1" applyFont="1" applyFill="1" applyBorder="1" applyAlignment="1" applyProtection="1">
      <alignment horizontal="right" vertical="center"/>
    </xf>
    <xf numFmtId="179" fontId="39" fillId="3" borderId="8" xfId="0" applyNumberFormat="1" applyFont="1" applyFill="1" applyBorder="1" applyAlignment="1" applyProtection="1">
      <alignment horizontal="right" vertical="center"/>
    </xf>
    <xf numFmtId="179" fontId="39" fillId="3" borderId="11" xfId="0" applyNumberFormat="1" applyFont="1" applyFill="1" applyBorder="1" applyAlignment="1" applyProtection="1">
      <alignment horizontal="right" vertical="center"/>
    </xf>
    <xf numFmtId="179" fontId="39" fillId="3" borderId="13" xfId="0" applyNumberFormat="1" applyFont="1" applyFill="1" applyBorder="1" applyAlignment="1" applyProtection="1">
      <alignment horizontal="right" vertical="center"/>
    </xf>
    <xf numFmtId="179" fontId="39" fillId="3" borderId="17" xfId="0" applyNumberFormat="1" applyFont="1" applyFill="1" applyBorder="1" applyAlignment="1" applyProtection="1">
      <alignment horizontal="right" vertical="center"/>
    </xf>
    <xf numFmtId="179" fontId="39" fillId="3" borderId="18" xfId="0" applyNumberFormat="1" applyFont="1" applyFill="1" applyBorder="1" applyAlignment="1" applyProtection="1">
      <alignment horizontal="right" vertical="center"/>
    </xf>
    <xf numFmtId="179" fontId="42" fillId="3" borderId="8" xfId="0" applyNumberFormat="1" applyFont="1" applyFill="1" applyBorder="1" applyAlignment="1" applyProtection="1">
      <alignment horizontal="right" vertical="center"/>
    </xf>
    <xf numFmtId="0" fontId="43" fillId="0" borderId="0" xfId="0" applyFont="1" applyFill="1" applyBorder="1" applyAlignment="1">
      <alignment horizontal="center" vertical="center"/>
    </xf>
    <xf numFmtId="0" fontId="35" fillId="0" borderId="0" xfId="0" applyFont="1" applyFill="1" applyBorder="1" applyAlignment="1">
      <alignment horizontal="left" vertical="center"/>
    </xf>
    <xf numFmtId="0" fontId="37" fillId="2" borderId="0" xfId="0" applyNumberFormat="1" applyFont="1" applyFill="1" applyBorder="1" applyAlignment="1" applyProtection="1">
      <alignment horizontal="left" vertical="center"/>
    </xf>
    <xf numFmtId="0" fontId="38" fillId="2" borderId="19" xfId="0" applyNumberFormat="1" applyFont="1" applyFill="1" applyBorder="1" applyAlignment="1" applyProtection="1">
      <alignment vertical="center"/>
    </xf>
    <xf numFmtId="0" fontId="38" fillId="2" borderId="19" xfId="0" applyNumberFormat="1" applyFont="1" applyFill="1" applyBorder="1" applyAlignment="1" applyProtection="1">
      <alignment horizontal="center" vertical="center"/>
    </xf>
    <xf numFmtId="0" fontId="38" fillId="2" borderId="19" xfId="0" applyNumberFormat="1" applyFont="1" applyFill="1" applyBorder="1" applyAlignment="1" applyProtection="1">
      <alignment horizontal="left" vertical="center"/>
    </xf>
    <xf numFmtId="0" fontId="14" fillId="2" borderId="2" xfId="0" applyNumberFormat="1" applyFont="1" applyFill="1" applyBorder="1" applyAlignment="1" applyProtection="1">
      <alignment horizontal="center" vertical="center"/>
    </xf>
    <xf numFmtId="0" fontId="14" fillId="2" borderId="6" xfId="0" applyNumberFormat="1" applyFont="1" applyFill="1" applyBorder="1" applyAlignment="1" applyProtection="1">
      <alignment horizontal="center" vertical="center"/>
    </xf>
    <xf numFmtId="0" fontId="38" fillId="2" borderId="20" xfId="0" applyNumberFormat="1" applyFont="1" applyFill="1" applyBorder="1" applyAlignment="1" applyProtection="1">
      <alignment vertical="center"/>
    </xf>
    <xf numFmtId="177" fontId="39" fillId="2" borderId="6" xfId="0" applyNumberFormat="1" applyFont="1" applyFill="1" applyBorder="1" applyAlignment="1" applyProtection="1">
      <alignment horizontal="right" vertical="center"/>
    </xf>
    <xf numFmtId="0" fontId="38" fillId="3" borderId="10" xfId="0" applyNumberFormat="1" applyFont="1" applyFill="1" applyBorder="1" applyAlignment="1" applyProtection="1">
      <alignment vertical="center"/>
    </xf>
    <xf numFmtId="179" fontId="39" fillId="3" borderId="6" xfId="0" applyNumberFormat="1" applyFont="1" applyFill="1" applyBorder="1" applyAlignment="1" applyProtection="1">
      <alignment horizontal="right" vertical="center"/>
    </xf>
    <xf numFmtId="177" fontId="39" fillId="3" borderId="6" xfId="0" applyNumberFormat="1" applyFont="1" applyFill="1" applyBorder="1" applyAlignment="1" applyProtection="1">
      <alignment horizontal="right" vertical="center"/>
    </xf>
    <xf numFmtId="0" fontId="14" fillId="3" borderId="10" xfId="0" applyNumberFormat="1" applyFont="1" applyFill="1" applyBorder="1" applyAlignment="1" applyProtection="1">
      <alignment horizontal="center" vertical="center"/>
    </xf>
    <xf numFmtId="179" fontId="42" fillId="3" borderId="6" xfId="0" applyNumberFormat="1" applyFont="1" applyFill="1" applyBorder="1" applyAlignment="1" applyProtection="1">
      <alignment horizontal="right" vertical="center"/>
    </xf>
    <xf numFmtId="177" fontId="42" fillId="3" borderId="6" xfId="0" applyNumberFormat="1" applyFont="1" applyFill="1" applyBorder="1" applyAlignment="1" applyProtection="1">
      <alignment horizontal="right" vertical="center"/>
    </xf>
    <xf numFmtId="0" fontId="44" fillId="0" borderId="0" xfId="0" applyFont="1" applyFill="1" applyBorder="1" applyAlignment="1"/>
    <xf numFmtId="0" fontId="45" fillId="0" borderId="0" xfId="0" applyFont="1" applyFill="1" applyBorder="1" applyAlignment="1"/>
    <xf numFmtId="0" fontId="35" fillId="0" borderId="0" xfId="0" applyFont="1" applyFill="1" applyBorder="1" applyAlignment="1">
      <alignment horizontal="center" vertical="center"/>
    </xf>
    <xf numFmtId="0" fontId="38" fillId="2" borderId="15" xfId="0" applyNumberFormat="1" applyFont="1" applyFill="1" applyBorder="1" applyAlignment="1" applyProtection="1">
      <alignment vertical="center"/>
    </xf>
    <xf numFmtId="180" fontId="39" fillId="2" borderId="16" xfId="0" applyNumberFormat="1" applyFont="1" applyFill="1" applyBorder="1" applyAlignment="1" applyProtection="1">
      <alignment horizontal="right" vertical="center"/>
    </xf>
    <xf numFmtId="49" fontId="38" fillId="2" borderId="16" xfId="0" applyNumberFormat="1" applyFont="1" applyFill="1" applyBorder="1" applyAlignment="1" applyProtection="1">
      <alignment vertical="center"/>
    </xf>
    <xf numFmtId="49" fontId="38" fillId="2" borderId="21" xfId="0" applyNumberFormat="1" applyFont="1" applyFill="1" applyBorder="1" applyAlignment="1" applyProtection="1">
      <alignment vertical="center"/>
    </xf>
    <xf numFmtId="49" fontId="38" fillId="2" borderId="8" xfId="0" applyNumberFormat="1" applyFont="1" applyFill="1" applyBorder="1" applyAlignment="1" applyProtection="1">
      <alignment vertical="center"/>
    </xf>
    <xf numFmtId="49" fontId="38" fillId="2" borderId="13" xfId="0" applyNumberFormat="1" applyFont="1" applyFill="1" applyBorder="1" applyAlignment="1" applyProtection="1">
      <alignment vertical="center"/>
    </xf>
    <xf numFmtId="0" fontId="38" fillId="2" borderId="13" xfId="0" applyNumberFormat="1" applyFont="1" applyFill="1" applyBorder="1" applyAlignment="1" applyProtection="1">
      <alignment vertical="center"/>
    </xf>
    <xf numFmtId="0" fontId="45" fillId="2" borderId="6" xfId="0" applyNumberFormat="1" applyFont="1" applyFill="1" applyBorder="1" applyAlignment="1" applyProtection="1">
      <alignment horizontal="center" vertical="center"/>
    </xf>
    <xf numFmtId="180" fontId="42" fillId="3" borderId="6" xfId="0" applyNumberFormat="1" applyFont="1" applyFill="1" applyBorder="1" applyAlignment="1" applyProtection="1">
      <alignment horizontal="right" vertical="center"/>
    </xf>
    <xf numFmtId="0" fontId="45" fillId="0" borderId="22" xfId="0" applyNumberFormat="1" applyFont="1" applyFill="1" applyBorder="1" applyAlignment="1" applyProtection="1"/>
    <xf numFmtId="0" fontId="38" fillId="0" borderId="22"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horizontal="left" vertical="center"/>
    </xf>
    <xf numFmtId="0" fontId="38" fillId="0" borderId="0" xfId="0" applyNumberFormat="1" applyFont="1" applyFill="1" applyBorder="1" applyAlignment="1" applyProtection="1">
      <alignment horizontal="center" vertical="center"/>
    </xf>
    <xf numFmtId="0" fontId="46" fillId="2" borderId="0" xfId="0" applyNumberFormat="1" applyFont="1" applyFill="1" applyBorder="1" applyAlignment="1" applyProtection="1">
      <alignment horizontal="center" vertical="center"/>
    </xf>
    <xf numFmtId="0" fontId="33" fillId="2" borderId="0" xfId="0" applyNumberFormat="1" applyFont="1" applyFill="1" applyBorder="1" applyAlignment="1" applyProtection="1"/>
    <xf numFmtId="0" fontId="46" fillId="2" borderId="0" xfId="0" applyNumberFormat="1" applyFont="1" applyFill="1" applyAlignment="1" applyProtection="1">
      <alignment horizontal="center" vertical="center"/>
    </xf>
    <xf numFmtId="0" fontId="14" fillId="2" borderId="23" xfId="0" applyNumberFormat="1" applyFont="1" applyFill="1" applyBorder="1" applyAlignment="1" applyProtection="1">
      <alignment horizontal="center" vertical="center" wrapText="1"/>
    </xf>
    <xf numFmtId="0" fontId="14" fillId="2" borderId="6" xfId="0" applyNumberFormat="1" applyFont="1" applyFill="1" applyBorder="1" applyAlignment="1" applyProtection="1">
      <alignment horizontal="center" vertical="center" wrapText="1"/>
    </xf>
    <xf numFmtId="0" fontId="14" fillId="2" borderId="24" xfId="0" applyNumberFormat="1" applyFont="1" applyFill="1" applyBorder="1" applyAlignment="1" applyProtection="1">
      <alignment horizontal="center" vertical="center" wrapText="1"/>
    </xf>
    <xf numFmtId="0" fontId="14" fillId="2" borderId="8" xfId="0" applyNumberFormat="1" applyFont="1" applyFill="1" applyBorder="1" applyAlignment="1" applyProtection="1">
      <alignment horizontal="center" vertical="center" wrapText="1"/>
    </xf>
    <xf numFmtId="0" fontId="38" fillId="2" borderId="8" xfId="0" applyNumberFormat="1" applyFont="1" applyFill="1" applyBorder="1" applyAlignment="1" applyProtection="1">
      <alignment horizontal="left" vertical="center"/>
    </xf>
    <xf numFmtId="180" fontId="39" fillId="2" borderId="23" xfId="0" applyNumberFormat="1" applyFont="1" applyFill="1" applyBorder="1" applyAlignment="1" applyProtection="1">
      <alignment horizontal="right" vertical="center" wrapText="1"/>
    </xf>
    <xf numFmtId="0" fontId="47" fillId="2" borderId="0" xfId="0" applyNumberFormat="1" applyFont="1" applyFill="1" applyBorder="1" applyAlignment="1" applyProtection="1"/>
    <xf numFmtId="0" fontId="38" fillId="2" borderId="9" xfId="0" applyNumberFormat="1" applyFont="1" applyFill="1" applyBorder="1" applyAlignment="1" applyProtection="1">
      <alignment vertical="center"/>
    </xf>
    <xf numFmtId="180" fontId="39" fillId="2" borderId="25" xfId="0" applyNumberFormat="1" applyFont="1" applyFill="1" applyBorder="1" applyAlignment="1" applyProtection="1">
      <alignment horizontal="right" vertical="center" wrapText="1"/>
    </xf>
    <xf numFmtId="0" fontId="38" fillId="2" borderId="6" xfId="0" applyNumberFormat="1" applyFont="1" applyFill="1" applyBorder="1" applyAlignment="1" applyProtection="1">
      <alignment horizontal="left" vertical="center"/>
    </xf>
    <xf numFmtId="180" fontId="39" fillId="2" borderId="26" xfId="0" applyNumberFormat="1" applyFont="1" applyFill="1" applyBorder="1" applyAlignment="1" applyProtection="1">
      <alignment horizontal="right" vertical="center" wrapText="1"/>
    </xf>
    <xf numFmtId="0" fontId="48" fillId="4" borderId="0" xfId="0" applyFont="1" applyFill="1" applyAlignment="1"/>
    <xf numFmtId="0" fontId="35" fillId="2" borderId="19" xfId="0" applyNumberFormat="1" applyFont="1" applyFill="1" applyBorder="1" applyAlignment="1" applyProtection="1"/>
    <xf numFmtId="0" fontId="38" fillId="2" borderId="21" xfId="0" applyNumberFormat="1" applyFont="1" applyFill="1" applyBorder="1" applyAlignment="1" applyProtection="1">
      <alignment horizontal="left" vertical="center"/>
    </xf>
    <xf numFmtId="0" fontId="35" fillId="0" borderId="0" xfId="0" applyNumberFormat="1" applyFont="1" applyFill="1" applyBorder="1" applyAlignment="1" applyProtection="1"/>
    <xf numFmtId="0" fontId="41" fillId="0" borderId="0" xfId="0" applyNumberFormat="1" applyFont="1" applyFill="1" applyBorder="1" applyAlignment="1" applyProtection="1">
      <alignment vertical="center"/>
    </xf>
    <xf numFmtId="0" fontId="49" fillId="0" borderId="0" xfId="0" applyFont="1" applyFill="1" applyAlignment="1" applyProtection="1">
      <alignment horizontal="center" vertical="center"/>
      <protection locked="0"/>
    </xf>
    <xf numFmtId="0" fontId="15" fillId="0" borderId="0" xfId="37" applyNumberFormat="1" applyFont="1" applyFill="1" applyBorder="1" applyAlignment="1">
      <alignment horizontal="right" vertical="center"/>
    </xf>
    <xf numFmtId="0" fontId="50" fillId="0" borderId="6" xfId="37" applyNumberFormat="1" applyFont="1" applyFill="1" applyBorder="1" applyAlignment="1">
      <alignment vertical="center" wrapText="1"/>
    </xf>
    <xf numFmtId="0" fontId="51" fillId="0" borderId="6" xfId="37" applyNumberFormat="1" applyFont="1" applyFill="1" applyBorder="1" applyAlignment="1">
      <alignment horizontal="center" vertical="center" wrapText="1"/>
    </xf>
    <xf numFmtId="181" fontId="18" fillId="0" borderId="6" xfId="37" applyNumberFormat="1" applyFont="1" applyFill="1" applyBorder="1" applyAlignment="1">
      <alignment horizontal="left" vertical="center" wrapText="1"/>
    </xf>
    <xf numFmtId="0" fontId="51" fillId="0" borderId="6" xfId="37" applyNumberFormat="1" applyFont="1" applyFill="1" applyBorder="1" applyAlignment="1">
      <alignment vertical="center" wrapText="1"/>
    </xf>
    <xf numFmtId="181" fontId="13" fillId="0" borderId="6" xfId="37" applyNumberFormat="1" applyFont="1" applyFill="1" applyBorder="1" applyAlignment="1">
      <alignment horizontal="left" vertical="center" wrapText="1"/>
    </xf>
    <xf numFmtId="49" fontId="51" fillId="2" borderId="6" xfId="48" applyNumberFormat="1" applyFont="1" applyFill="1" applyBorder="1" applyAlignment="1">
      <alignment horizontal="left" vertical="center" wrapText="1" shrinkToFit="1"/>
    </xf>
    <xf numFmtId="0" fontId="51" fillId="2" borderId="6" xfId="37" applyNumberFormat="1" applyFont="1" applyFill="1" applyBorder="1" applyAlignment="1">
      <alignment vertical="center"/>
    </xf>
    <xf numFmtId="0" fontId="52" fillId="0" borderId="6" xfId="0" applyNumberFormat="1" applyFont="1" applyFill="1" applyBorder="1" applyAlignment="1">
      <alignment vertical="center" wrapText="1"/>
    </xf>
    <xf numFmtId="0" fontId="53" fillId="0" borderId="0" xfId="12" applyNumberFormat="1" applyFont="1" applyFill="1" applyAlignment="1" applyProtection="1">
      <alignment horizontal="center" vertical="center"/>
    </xf>
    <xf numFmtId="0" fontId="54" fillId="2" borderId="6" xfId="0" applyNumberFormat="1" applyFont="1" applyFill="1" applyBorder="1" applyAlignment="1" applyProtection="1">
      <alignment horizontal="center" vertical="center"/>
    </xf>
    <xf numFmtId="182" fontId="54" fillId="2" borderId="6" xfId="0" applyNumberFormat="1" applyFont="1" applyFill="1" applyBorder="1" applyAlignment="1" applyProtection="1">
      <alignment horizontal="center" vertical="center" wrapText="1"/>
    </xf>
    <xf numFmtId="49" fontId="23" fillId="0" borderId="6" xfId="0" applyNumberFormat="1" applyFont="1" applyFill="1" applyBorder="1" applyAlignment="1" applyProtection="1">
      <alignment vertical="center" wrapText="1"/>
    </xf>
    <xf numFmtId="49" fontId="55" fillId="2" borderId="6" xfId="0" applyNumberFormat="1" applyFont="1" applyFill="1" applyBorder="1" applyAlignment="1" applyProtection="1">
      <alignment vertical="center" wrapText="1"/>
    </xf>
    <xf numFmtId="176" fontId="56" fillId="0" borderId="8" xfId="0" applyNumberFormat="1" applyFont="1" applyFill="1" applyBorder="1" applyAlignment="1" applyProtection="1">
      <alignment horizontal="right" vertical="center" wrapText="1"/>
    </xf>
    <xf numFmtId="0" fontId="55" fillId="0" borderId="0" xfId="12" applyNumberFormat="1" applyFont="1" applyFill="1" applyBorder="1" applyAlignment="1" applyProtection="1">
      <alignment vertical="center"/>
    </xf>
    <xf numFmtId="183" fontId="54" fillId="0" borderId="6" xfId="0" applyNumberFormat="1" applyFont="1" applyFill="1" applyBorder="1" applyAlignment="1" applyProtection="1">
      <alignment horizontal="center" vertical="center" wrapText="1"/>
    </xf>
    <xf numFmtId="0" fontId="57" fillId="0" borderId="0" xfId="0" applyFont="1" applyFill="1" applyAlignment="1">
      <alignment horizontal="center" vertical="center" wrapText="1"/>
    </xf>
    <xf numFmtId="0" fontId="58" fillId="0" borderId="0" xfId="0" applyFont="1" applyFill="1" applyAlignment="1">
      <alignment horizontal="right" vertical="center" wrapText="1"/>
    </xf>
    <xf numFmtId="0" fontId="55" fillId="0" borderId="6" xfId="0" applyNumberFormat="1" applyFont="1" applyFill="1" applyBorder="1" applyAlignment="1" applyProtection="1">
      <alignment horizontal="center" vertical="center" wrapText="1"/>
    </xf>
    <xf numFmtId="0" fontId="59" fillId="2" borderId="8" xfId="0" applyNumberFormat="1" applyFont="1" applyFill="1" applyBorder="1" applyAlignment="1" applyProtection="1">
      <alignment horizontal="center" vertical="center"/>
    </xf>
    <xf numFmtId="0" fontId="54" fillId="2" borderId="8" xfId="0" applyNumberFormat="1" applyFont="1" applyFill="1" applyBorder="1" applyAlignment="1" applyProtection="1">
      <alignment horizontal="center" vertical="center" wrapText="1"/>
    </xf>
    <xf numFmtId="49" fontId="23" fillId="0" borderId="6" xfId="0" applyNumberFormat="1" applyFont="1" applyFill="1" applyBorder="1" applyAlignment="1" applyProtection="1">
      <alignment horizontal="center" vertical="center" wrapText="1"/>
    </xf>
    <xf numFmtId="49" fontId="55" fillId="2" borderId="6" xfId="0" applyNumberFormat="1" applyFont="1" applyFill="1" applyBorder="1" applyAlignment="1" applyProtection="1">
      <alignment horizontal="center" vertical="center" wrapText="1"/>
    </xf>
    <xf numFmtId="0" fontId="60" fillId="0" borderId="0" xfId="0" applyFont="1" applyFill="1" applyAlignment="1">
      <alignment vertical="center" wrapText="1"/>
    </xf>
    <xf numFmtId="0" fontId="58" fillId="0" borderId="0" xfId="0" applyFont="1" applyFill="1" applyAlignment="1">
      <alignment vertical="center" wrapText="1"/>
    </xf>
    <xf numFmtId="184" fontId="53" fillId="0" borderId="0" xfId="13" applyNumberFormat="1" applyFont="1" applyFill="1" applyAlignment="1" applyProtection="1">
      <alignment horizontal="center" vertical="center"/>
    </xf>
    <xf numFmtId="0" fontId="55" fillId="0" borderId="1" xfId="0" applyNumberFormat="1" applyFont="1" applyFill="1" applyBorder="1" applyAlignment="1" applyProtection="1">
      <alignment horizontal="center" vertical="center" wrapText="1"/>
    </xf>
    <xf numFmtId="0" fontId="55" fillId="0" borderId="7" xfId="0" applyNumberFormat="1" applyFont="1" applyFill="1" applyBorder="1" applyAlignment="1" applyProtection="1">
      <alignment horizontal="center" vertical="center" wrapText="1"/>
    </xf>
    <xf numFmtId="0" fontId="61" fillId="0" borderId="0" xfId="0" applyNumberFormat="1" applyFont="1" applyFill="1" applyAlignment="1" applyProtection="1">
      <alignment horizontal="center" vertical="center" wrapText="1"/>
    </xf>
    <xf numFmtId="0" fontId="5" fillId="0" borderId="0" xfId="0" applyFont="1" applyFill="1" applyBorder="1" applyAlignment="1">
      <alignment vertical="center" wrapText="1" shrinkToFit="1"/>
    </xf>
    <xf numFmtId="0" fontId="5" fillId="0" borderId="0" xfId="0" applyNumberFormat="1" applyFont="1" applyFill="1" applyBorder="1" applyAlignment="1" applyProtection="1">
      <alignment horizontal="center" vertical="center"/>
    </xf>
    <xf numFmtId="0" fontId="23" fillId="0" borderId="1" xfId="0" applyNumberFormat="1" applyFont="1" applyFill="1" applyBorder="1" applyAlignment="1" applyProtection="1">
      <alignment horizontal="center" vertical="center" wrapText="1" shrinkToFit="1"/>
    </xf>
    <xf numFmtId="0" fontId="23" fillId="0" borderId="6" xfId="0" applyNumberFormat="1" applyFont="1" applyFill="1" applyBorder="1" applyAlignment="1" applyProtection="1">
      <alignment horizontal="center" vertical="center"/>
    </xf>
    <xf numFmtId="0" fontId="23" fillId="0" borderId="6" xfId="0" applyNumberFormat="1"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xf>
    <xf numFmtId="0" fontId="5" fillId="0" borderId="6" xfId="0" applyNumberFormat="1" applyFont="1" applyFill="1" applyBorder="1" applyAlignment="1" applyProtection="1">
      <alignment horizontal="left" vertical="center"/>
    </xf>
    <xf numFmtId="0" fontId="55" fillId="0" borderId="5" xfId="0" applyNumberFormat="1" applyFont="1" applyFill="1" applyBorder="1" applyAlignment="1" applyProtection="1">
      <alignment horizontal="center" vertical="center" wrapText="1" shrinkToFit="1"/>
    </xf>
    <xf numFmtId="0" fontId="5" fillId="0" borderId="6" xfId="0" applyNumberFormat="1" applyFont="1" applyFill="1" applyBorder="1" applyAlignment="1" applyProtection="1">
      <alignment horizontal="center" vertical="center"/>
    </xf>
    <xf numFmtId="0" fontId="5" fillId="0" borderId="6"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55" fillId="0" borderId="7" xfId="0" applyNumberFormat="1" applyFont="1" applyFill="1" applyBorder="1" applyAlignment="1" applyProtection="1">
      <alignment horizontal="center" vertical="center" wrapText="1" shrinkToFit="1"/>
    </xf>
    <xf numFmtId="0" fontId="23" fillId="0" borderId="7" xfId="0" applyNumberFormat="1" applyFont="1" applyFill="1" applyBorder="1" applyAlignment="1" applyProtection="1">
      <alignment horizontal="center" vertical="center" wrapText="1"/>
    </xf>
    <xf numFmtId="0" fontId="23" fillId="0" borderId="6" xfId="0" applyNumberFormat="1" applyFont="1" applyFill="1" applyBorder="1" applyAlignment="1" applyProtection="1">
      <alignment horizontal="center" vertical="center" wrapText="1" shrinkToFit="1"/>
    </xf>
    <xf numFmtId="0" fontId="5" fillId="0" borderId="6" xfId="0" applyNumberFormat="1" applyFont="1" applyFill="1" applyBorder="1" applyAlignment="1" applyProtection="1">
      <alignment horizontal="center" vertical="center" wrapText="1" shrinkToFit="1"/>
    </xf>
    <xf numFmtId="0" fontId="23" fillId="0" borderId="6" xfId="0" applyNumberFormat="1" applyFont="1" applyFill="1" applyBorder="1" applyAlignment="1" applyProtection="1">
      <alignment vertical="center" wrapText="1" shrinkToFit="1"/>
    </xf>
    <xf numFmtId="49" fontId="5" fillId="0" borderId="6" xfId="0" applyNumberFormat="1" applyFont="1" applyFill="1" applyBorder="1" applyAlignment="1" applyProtection="1">
      <alignment vertical="center"/>
    </xf>
    <xf numFmtId="0" fontId="23" fillId="0" borderId="6" xfId="0" applyFont="1" applyFill="1" applyBorder="1" applyAlignment="1">
      <alignment horizontal="center" vertical="center"/>
    </xf>
    <xf numFmtId="0" fontId="23" fillId="0" borderId="6" xfId="0" applyFont="1" applyFill="1" applyBorder="1" applyAlignment="1">
      <alignment vertical="center" wrapText="1"/>
    </xf>
    <xf numFmtId="0" fontId="25" fillId="0" borderId="6" xfId="0" applyNumberFormat="1" applyFont="1" applyFill="1" applyBorder="1" applyAlignment="1" applyProtection="1">
      <alignment horizontal="center" vertical="center" wrapText="1"/>
    </xf>
    <xf numFmtId="0" fontId="62" fillId="0" borderId="8" xfId="0" applyNumberFormat="1" applyFont="1" applyFill="1" applyBorder="1" applyAlignment="1" applyProtection="1">
      <alignment vertical="center"/>
    </xf>
    <xf numFmtId="0" fontId="25" fillId="0" borderId="8"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right" vertical="center" wrapText="1"/>
    </xf>
    <xf numFmtId="0" fontId="45" fillId="0" borderId="0" xfId="0" applyFont="1" applyFill="1" applyBorder="1" applyAlignment="1">
      <alignment horizontal="right" vertical="top" wrapText="1"/>
    </xf>
    <xf numFmtId="0" fontId="5" fillId="0" borderId="6" xfId="0" applyNumberFormat="1" applyFont="1" applyFill="1" applyBorder="1" applyAlignment="1" applyProtection="1">
      <alignment horizontal="left" vertical="center" wrapText="1"/>
    </xf>
    <xf numFmtId="0" fontId="5" fillId="0" borderId="1" xfId="0" applyNumberFormat="1" applyFont="1" applyFill="1" applyBorder="1" applyAlignment="1" applyProtection="1">
      <alignment horizontal="center" vertical="center" wrapText="1"/>
    </xf>
    <xf numFmtId="0" fontId="63" fillId="0" borderId="6" xfId="0" applyNumberFormat="1" applyFont="1" applyFill="1" applyBorder="1" applyAlignment="1" applyProtection="1">
      <alignment horizontal="center" vertical="center" wrapText="1"/>
    </xf>
    <xf numFmtId="0" fontId="64" fillId="0" borderId="6"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176" fontId="5" fillId="0" borderId="2" xfId="0" applyNumberFormat="1" applyFont="1" applyFill="1" applyBorder="1" applyAlignment="1" applyProtection="1">
      <alignment horizontal="right" vertical="center"/>
    </xf>
    <xf numFmtId="0" fontId="25" fillId="0" borderId="6" xfId="0" applyFont="1" applyFill="1" applyBorder="1" applyAlignment="1">
      <alignment horizontal="left" vertical="center" wrapText="1"/>
    </xf>
    <xf numFmtId="176" fontId="5" fillId="0" borderId="2" xfId="0" applyNumberFormat="1" applyFont="1" applyFill="1" applyBorder="1" applyAlignment="1" applyProtection="1">
      <alignment horizontal="left" vertical="center" wrapText="1"/>
    </xf>
    <xf numFmtId="176" fontId="5" fillId="0" borderId="6" xfId="0" applyNumberFormat="1" applyFont="1" applyFill="1" applyBorder="1" applyAlignment="1" applyProtection="1">
      <alignment vertical="center" wrapText="1"/>
    </xf>
    <xf numFmtId="176" fontId="23" fillId="0" borderId="2" xfId="0" applyNumberFormat="1" applyFont="1" applyFill="1" applyBorder="1" applyAlignment="1" applyProtection="1">
      <alignment horizontal="left" vertical="center" wrapText="1"/>
    </xf>
    <xf numFmtId="176" fontId="25" fillId="0" borderId="6" xfId="0" applyNumberFormat="1" applyFont="1" applyFill="1" applyBorder="1" applyAlignment="1" applyProtection="1">
      <alignment horizontal="left" vertical="center"/>
    </xf>
    <xf numFmtId="176" fontId="25" fillId="0" borderId="6" xfId="0" applyNumberFormat="1" applyFont="1" applyFill="1" applyBorder="1" applyAlignment="1" applyProtection="1">
      <alignment vertical="center" wrapText="1"/>
    </xf>
    <xf numFmtId="176" fontId="5" fillId="0" borderId="6" xfId="0" applyNumberFormat="1" applyFont="1" applyFill="1" applyBorder="1" applyAlignment="1" applyProtection="1">
      <alignment vertical="center"/>
    </xf>
    <xf numFmtId="176" fontId="23" fillId="0" borderId="6" xfId="0" applyNumberFormat="1" applyFont="1" applyFill="1" applyBorder="1" applyAlignment="1" applyProtection="1">
      <alignment vertical="center" wrapText="1"/>
    </xf>
    <xf numFmtId="176" fontId="55" fillId="0" borderId="6" xfId="0" applyNumberFormat="1" applyFont="1" applyFill="1" applyBorder="1" applyAlignment="1" applyProtection="1">
      <alignment vertical="center" wrapText="1"/>
    </xf>
    <xf numFmtId="176" fontId="5" fillId="0" borderId="1" xfId="0" applyNumberFormat="1" applyFont="1" applyFill="1" applyBorder="1" applyAlignment="1" applyProtection="1">
      <alignment horizontal="right" vertical="center"/>
    </xf>
    <xf numFmtId="176" fontId="5" fillId="0" borderId="5" xfId="0" applyNumberFormat="1" applyFont="1" applyFill="1" applyBorder="1" applyAlignment="1" applyProtection="1">
      <alignment horizontal="right" vertical="center"/>
    </xf>
    <xf numFmtId="176" fontId="55" fillId="0" borderId="6" xfId="0" applyNumberFormat="1" applyFont="1" applyFill="1" applyBorder="1" applyAlignment="1" applyProtection="1">
      <alignment horizontal="left" vertical="center" wrapText="1"/>
    </xf>
    <xf numFmtId="180" fontId="5" fillId="0" borderId="6" xfId="0" applyNumberFormat="1" applyFont="1" applyFill="1" applyBorder="1" applyAlignment="1" applyProtection="1">
      <alignment horizontal="right" vertical="center"/>
    </xf>
    <xf numFmtId="180" fontId="23" fillId="0" borderId="6" xfId="0" applyNumberFormat="1" applyFont="1" applyFill="1" applyBorder="1" applyAlignment="1" applyProtection="1">
      <alignment horizontal="left" vertical="center" wrapText="1"/>
    </xf>
    <xf numFmtId="0" fontId="23" fillId="0" borderId="6" xfId="0" applyFont="1" applyFill="1" applyBorder="1" applyAlignment="1">
      <alignment horizontal="left" vertical="center" wrapText="1"/>
    </xf>
    <xf numFmtId="180" fontId="5" fillId="0" borderId="2" xfId="0" applyNumberFormat="1" applyFont="1" applyFill="1" applyBorder="1" applyAlignment="1" applyProtection="1">
      <alignment horizontal="right" vertical="center"/>
    </xf>
    <xf numFmtId="180" fontId="5" fillId="0" borderId="1" xfId="0" applyNumberFormat="1" applyFont="1" applyFill="1" applyBorder="1" applyAlignment="1" applyProtection="1">
      <alignment horizontal="right" vertical="center"/>
    </xf>
    <xf numFmtId="180" fontId="5" fillId="0" borderId="1" xfId="0" applyNumberFormat="1" applyFont="1" applyFill="1" applyBorder="1" applyAlignment="1" applyProtection="1">
      <alignment horizontal="right" vertical="center" wrapText="1"/>
    </xf>
    <xf numFmtId="180" fontId="5" fillId="0" borderId="6" xfId="0" applyNumberFormat="1" applyFont="1" applyFill="1" applyBorder="1" applyAlignment="1" applyProtection="1">
      <alignment horizontal="right" vertical="center" wrapText="1"/>
    </xf>
    <xf numFmtId="0" fontId="55" fillId="0" borderId="6" xfId="0" applyNumberFormat="1" applyFont="1" applyFill="1" applyBorder="1" applyAlignment="1" applyProtection="1">
      <alignment horizontal="left" vertical="center" wrapText="1"/>
    </xf>
    <xf numFmtId="0" fontId="55" fillId="0" borderId="6" xfId="0" applyNumberFormat="1" applyFont="1" applyFill="1" applyBorder="1" applyAlignment="1" applyProtection="1">
      <alignment vertical="center" wrapText="1"/>
    </xf>
    <xf numFmtId="176" fontId="5" fillId="0" borderId="6" xfId="0" applyNumberFormat="1" applyFont="1" applyFill="1" applyBorder="1" applyAlignment="1" applyProtection="1">
      <alignment horizontal="left" vertical="center"/>
    </xf>
    <xf numFmtId="0" fontId="5" fillId="0" borderId="6" xfId="0" applyFont="1" applyFill="1" applyBorder="1" applyAlignment="1">
      <alignment horizontal="left" vertical="center" wrapText="1"/>
    </xf>
    <xf numFmtId="176" fontId="5" fillId="0" borderId="19" xfId="0" applyNumberFormat="1" applyFont="1" applyFill="1" applyBorder="1" applyAlignment="1" applyProtection="1">
      <alignment horizontal="right" vertical="center"/>
    </xf>
    <xf numFmtId="176" fontId="5" fillId="0" borderId="12" xfId="0" applyNumberFormat="1" applyFont="1" applyFill="1" applyBorder="1" applyAlignment="1" applyProtection="1">
      <alignment horizontal="right" vertical="center"/>
    </xf>
    <xf numFmtId="176" fontId="5" fillId="0" borderId="27" xfId="0" applyNumberFormat="1" applyFont="1" applyFill="1" applyBorder="1" applyAlignment="1" applyProtection="1">
      <alignment horizontal="right" vertical="center"/>
    </xf>
    <xf numFmtId="176" fontId="55" fillId="0" borderId="2" xfId="0" applyNumberFormat="1" applyFont="1" applyFill="1" applyBorder="1" applyAlignment="1" applyProtection="1">
      <alignment horizontal="left" vertical="center" wrapText="1"/>
    </xf>
    <xf numFmtId="0" fontId="5" fillId="0" borderId="6" xfId="0" applyNumberFormat="1" applyFont="1" applyFill="1" applyBorder="1" applyAlignment="1" applyProtection="1">
      <alignment horizontal="right" vertical="center" wrapText="1"/>
    </xf>
    <xf numFmtId="0" fontId="5" fillId="0" borderId="6" xfId="0" applyFont="1" applyFill="1" applyBorder="1" applyAlignment="1">
      <alignment horizontal="right" vertical="center"/>
    </xf>
    <xf numFmtId="176" fontId="5" fillId="0" borderId="1" xfId="0" applyNumberFormat="1" applyFont="1" applyFill="1" applyBorder="1" applyAlignment="1" applyProtection="1">
      <alignment horizontal="center" vertical="center"/>
    </xf>
    <xf numFmtId="176" fontId="5" fillId="0" borderId="1" xfId="0" applyNumberFormat="1" applyFont="1" applyFill="1" applyBorder="1" applyAlignment="1" applyProtection="1">
      <alignment vertical="center"/>
    </xf>
    <xf numFmtId="0" fontId="15" fillId="0" borderId="0" xfId="6" applyNumberFormat="1" applyFont="1" applyFill="1" applyBorder="1" applyAlignment="1"/>
    <xf numFmtId="0" fontId="15" fillId="0" borderId="0" xfId="6" applyNumberFormat="1" applyFont="1" applyFill="1" applyBorder="1" applyAlignment="1">
      <alignment horizontal="center" vertical="center"/>
    </xf>
    <xf numFmtId="0" fontId="15" fillId="0" borderId="0" xfId="6" applyNumberFormat="1" applyFont="1" applyFill="1" applyBorder="1" applyAlignment="1">
      <alignment vertical="center" wrapText="1"/>
    </xf>
    <xf numFmtId="0" fontId="65" fillId="0" borderId="0" xfId="0" applyFont="1" applyFill="1" applyAlignment="1" applyProtection="1">
      <alignment horizontal="center" vertical="center"/>
      <protection locked="0"/>
    </xf>
    <xf numFmtId="0" fontId="65" fillId="0" borderId="0" xfId="0" applyNumberFormat="1" applyFont="1" applyFill="1" applyAlignment="1" applyProtection="1">
      <alignment horizontal="center" vertical="center"/>
      <protection locked="0"/>
    </xf>
    <xf numFmtId="0" fontId="15" fillId="0" borderId="0" xfId="37" applyNumberFormat="1" applyFont="1" applyFill="1" applyBorder="1" applyAlignment="1"/>
    <xf numFmtId="0" fontId="15" fillId="0" borderId="0" xfId="37" applyNumberFormat="1" applyFont="1" applyFill="1" applyBorder="1" applyAlignment="1">
      <alignment horizontal="center" vertical="center"/>
    </xf>
    <xf numFmtId="0" fontId="66" fillId="0" borderId="6" xfId="37" applyNumberFormat="1" applyFont="1" applyFill="1" applyBorder="1" applyAlignment="1">
      <alignment horizontal="center" vertical="center"/>
    </xf>
    <xf numFmtId="0" fontId="50" fillId="2" borderId="4" xfId="37" applyNumberFormat="1" applyFont="1" applyFill="1" applyBorder="1" applyAlignment="1">
      <alignment vertical="center" wrapText="1"/>
    </xf>
    <xf numFmtId="0" fontId="51" fillId="2" borderId="6" xfId="37" applyNumberFormat="1" applyFont="1" applyFill="1" applyBorder="1" applyAlignment="1">
      <alignment horizontal="center" vertical="center" wrapText="1"/>
    </xf>
    <xf numFmtId="181" fontId="3" fillId="0" borderId="6" xfId="37" applyNumberFormat="1" applyFont="1" applyFill="1" applyBorder="1" applyAlignment="1">
      <alignment horizontal="left" vertical="center" wrapText="1"/>
    </xf>
    <xf numFmtId="0" fontId="51" fillId="2" borderId="4" xfId="37" applyNumberFormat="1" applyFont="1" applyFill="1" applyBorder="1" applyAlignment="1">
      <alignment vertical="center" wrapText="1"/>
    </xf>
    <xf numFmtId="181" fontId="23" fillId="0" borderId="6" xfId="37" applyNumberFormat="1" applyFont="1" applyFill="1" applyBorder="1" applyAlignment="1">
      <alignment horizontal="left" vertical="center" wrapText="1"/>
    </xf>
    <xf numFmtId="0" fontId="50" fillId="0" borderId="4" xfId="37" applyNumberFormat="1" applyFont="1" applyFill="1" applyBorder="1" applyAlignment="1">
      <alignment vertical="center" wrapText="1"/>
    </xf>
    <xf numFmtId="0" fontId="51" fillId="0" borderId="2" xfId="37" applyNumberFormat="1" applyFont="1" applyFill="1" applyBorder="1" applyAlignment="1">
      <alignment horizontal="center" vertical="center" wrapText="1"/>
    </xf>
    <xf numFmtId="0" fontId="51" fillId="0" borderId="4" xfId="37" applyNumberFormat="1" applyFont="1" applyFill="1" applyBorder="1" applyAlignment="1">
      <alignment vertical="center" wrapText="1"/>
    </xf>
    <xf numFmtId="0" fontId="52" fillId="0" borderId="6" xfId="0" applyNumberFormat="1" applyFont="1" applyFill="1" applyBorder="1" applyAlignment="1">
      <alignment horizontal="center" vertical="center"/>
    </xf>
    <xf numFmtId="0" fontId="67" fillId="0" borderId="6" xfId="0" applyNumberFormat="1" applyFont="1" applyFill="1" applyBorder="1" applyAlignment="1">
      <alignment vertical="center" wrapText="1"/>
    </xf>
    <xf numFmtId="181" fontId="30" fillId="0" borderId="6" xfId="37" applyNumberFormat="1" applyFont="1" applyFill="1" applyBorder="1" applyAlignment="1">
      <alignment horizontal="left" vertical="center" wrapText="1"/>
    </xf>
    <xf numFmtId="0" fontId="11" fillId="0" borderId="0" xfId="0" applyFont="1" applyFill="1" applyAlignment="1">
      <alignment vertical="center"/>
    </xf>
    <xf numFmtId="181" fontId="11" fillId="0" borderId="0" xfId="0" applyNumberFormat="1" applyFont="1" applyFill="1" applyAlignment="1">
      <alignment horizontal="center" vertical="center"/>
    </xf>
    <xf numFmtId="0" fontId="11" fillId="0" borderId="0" xfId="0" applyFont="1" applyFill="1" applyAlignment="1">
      <alignment horizontal="center" vertical="center" wrapText="1"/>
    </xf>
    <xf numFmtId="0" fontId="11" fillId="0" borderId="0" xfId="0" applyFont="1" applyFill="1" applyAlignment="1">
      <alignment vertical="center" wrapText="1"/>
    </xf>
    <xf numFmtId="0" fontId="33" fillId="0" borderId="0" xfId="0" applyFont="1" applyFill="1" applyAlignment="1" applyProtection="1">
      <alignment horizontal="center" vertical="center"/>
      <protection locked="0"/>
    </xf>
    <xf numFmtId="31" fontId="68" fillId="0" borderId="0" xfId="0" applyNumberFormat="1" applyFont="1" applyFill="1" applyAlignment="1" applyProtection="1">
      <alignment horizontal="left"/>
      <protection locked="0"/>
    </xf>
    <xf numFmtId="181" fontId="68" fillId="0" borderId="0" xfId="0" applyNumberFormat="1" applyFont="1" applyFill="1" applyAlignment="1" applyProtection="1">
      <alignment horizontal="center"/>
      <protection locked="0"/>
    </xf>
    <xf numFmtId="181" fontId="68" fillId="0" borderId="0" xfId="0" applyNumberFormat="1" applyFont="1" applyFill="1" applyAlignment="1" applyProtection="1">
      <alignment horizontal="center" wrapText="1"/>
      <protection locked="0"/>
    </xf>
    <xf numFmtId="0" fontId="11" fillId="0" borderId="0" xfId="0" applyFont="1" applyFill="1" applyAlignment="1" applyProtection="1">
      <alignment vertical="center" wrapText="1"/>
      <protection locked="0"/>
    </xf>
    <xf numFmtId="0" fontId="23" fillId="0" borderId="0" xfId="0" applyFont="1" applyFill="1" applyAlignment="1" applyProtection="1">
      <alignment vertical="center"/>
      <protection locked="0"/>
    </xf>
    <xf numFmtId="0" fontId="23" fillId="0" borderId="0" xfId="0" applyFont="1" applyFill="1" applyAlignment="1" applyProtection="1">
      <alignment horizontal="right" vertical="center"/>
      <protection locked="0"/>
    </xf>
    <xf numFmtId="0" fontId="69" fillId="0" borderId="6" xfId="0" applyFont="1" applyFill="1" applyBorder="1" applyAlignment="1" applyProtection="1">
      <alignment horizontal="center" vertical="center"/>
    </xf>
    <xf numFmtId="0" fontId="70" fillId="0" borderId="1" xfId="0" applyFont="1" applyFill="1" applyBorder="1" applyAlignment="1" applyProtection="1">
      <alignment horizontal="center" vertical="center" wrapText="1"/>
    </xf>
    <xf numFmtId="0" fontId="71" fillId="0" borderId="6" xfId="0" applyFont="1" applyFill="1" applyBorder="1" applyAlignment="1" applyProtection="1">
      <alignment horizontal="center" vertical="center" wrapText="1"/>
    </xf>
    <xf numFmtId="0" fontId="72" fillId="0" borderId="1" xfId="0" applyFont="1" applyFill="1" applyBorder="1" applyAlignment="1" applyProtection="1">
      <alignment horizontal="center" vertical="center" wrapText="1"/>
    </xf>
    <xf numFmtId="0" fontId="73" fillId="0" borderId="6" xfId="0" applyFont="1" applyFill="1" applyBorder="1" applyAlignment="1" applyProtection="1"/>
    <xf numFmtId="181" fontId="74" fillId="0" borderId="6" xfId="0" applyNumberFormat="1" applyFont="1" applyFill="1" applyBorder="1" applyAlignment="1" applyProtection="1">
      <alignment horizontal="center"/>
    </xf>
    <xf numFmtId="10" fontId="74" fillId="0" borderId="6" xfId="0" applyNumberFormat="1" applyFont="1" applyFill="1" applyBorder="1" applyAlignment="1" applyProtection="1">
      <alignment horizontal="center"/>
    </xf>
    <xf numFmtId="0" fontId="75" fillId="0" borderId="6" xfId="0" applyFont="1" applyFill="1" applyBorder="1" applyAlignment="1" applyProtection="1"/>
    <xf numFmtId="0" fontId="18" fillId="0" borderId="6" xfId="0" applyFont="1" applyFill="1" applyBorder="1" applyAlignment="1" applyProtection="1"/>
    <xf numFmtId="0" fontId="18" fillId="0" borderId="6" xfId="0" applyFont="1" applyFill="1" applyBorder="1" applyAlignment="1" applyProtection="1">
      <alignment horizontal="left" indent="1"/>
    </xf>
    <xf numFmtId="0" fontId="74" fillId="0" borderId="6" xfId="0" applyFont="1" applyFill="1" applyBorder="1" applyAlignment="1" applyProtection="1"/>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20% - 强调文字颜色 5 2 4 2" xfId="6"/>
    <cellStyle name="40% - 强调文字颜色 3" xfId="7" builtinId="39"/>
    <cellStyle name="差" xfId="8" builtinId="27"/>
    <cellStyle name="千位分隔" xfId="9" builtinId="3"/>
    <cellStyle name="60% - 强调文字颜色 3" xfId="10" builtinId="40"/>
    <cellStyle name="超链接" xfId="11" builtinId="8"/>
    <cellStyle name="常规_1-23预算公开表（全套17张专项检查参考）财政用" xfId="12"/>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好_2006年27重庆_财力性转移支付2010年预算参考数 2 4"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_6-市级预算单位国有资本经营预算表((定稿))" xfId="47"/>
    <cellStyle name="差_卫生(按照总人口测算）—20080416_民生政策最低支出需求_财力性转移支付2010年预算参考数 2 2" xfId="48"/>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_2014年预算表格(0)" xfId="54"/>
    <cellStyle name="Normal" xfId="55"/>
  </cellStyles>
  <dxfs count="1">
    <dxf>
      <font>
        <b val="0"/>
        <i val="0"/>
        <strike val="0"/>
        <u val="none"/>
        <sz val="11"/>
        <color indexed="8"/>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theme" Target="theme/theme1.xml"/><Relationship Id="rId27" Type="http://schemas.openxmlformats.org/officeDocument/2006/relationships/externalLink" Target="externalLinks/externalLink1.xml"/><Relationship Id="rId26" Type="http://schemas.openxmlformats.org/officeDocument/2006/relationships/customXml" Target="../customXml/item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Administrator\Desktop\&#39044;&#31639;2021\&#39044;&#31639;&#23450;&#31295;\2&#12289;2021&#24180;&#19968;&#33324;&#39044;&#31639;&#25910;&#20837;&#12289;&#36130;&#21147;&#12289;&#25903;&#20986;&#39044;&#31639;&#34920;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财力"/>
      <sheetName val="2收入"/>
      <sheetName val="3非税"/>
      <sheetName val="4支出"/>
      <sheetName val="5抗疫国债"/>
      <sheetName val="6新增债"/>
      <sheetName val="7基金表"/>
      <sheetName val="8基金支出项目表"/>
      <sheetName val="国家"/>
      <sheetName val="农业人口"/>
    </sheetNames>
    <sheetDataSet>
      <sheetData sheetId="0"/>
      <sheetData sheetId="1"/>
      <sheetData sheetId="2"/>
      <sheetData sheetId="3">
        <row r="6">
          <cell r="H6">
            <v>147195.62</v>
          </cell>
        </row>
      </sheetData>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5"/>
  <sheetViews>
    <sheetView topLeftCell="A22" workbookViewId="0">
      <selection activeCell="C24" sqref="C24"/>
    </sheetView>
  </sheetViews>
  <sheetFormatPr defaultColWidth="8.88888888888889" defaultRowHeight="15.6" outlineLevelCol="5"/>
  <cols>
    <col min="1" max="1" width="40.2592592592593" style="317" customWidth="1"/>
    <col min="2" max="2" width="13.2222222222222" style="318" hidden="1" customWidth="1"/>
    <col min="3" max="3" width="21.5555555555556" style="319" customWidth="1"/>
    <col min="4" max="4" width="21.5555555555556" style="320" customWidth="1"/>
    <col min="5" max="5" width="21.5555555555556" style="317" customWidth="1"/>
    <col min="6" max="6" width="21.5555555555556" style="319" customWidth="1"/>
  </cols>
  <sheetData>
    <row r="1" ht="14.4" spans="1:1">
      <c r="A1" s="3" t="s">
        <v>0</v>
      </c>
    </row>
    <row r="2" ht="24" spans="1:6">
      <c r="A2" s="321" t="s">
        <v>1</v>
      </c>
      <c r="B2" s="321"/>
      <c r="C2" s="321"/>
      <c r="D2" s="321"/>
      <c r="E2" s="321"/>
      <c r="F2" s="321"/>
    </row>
    <row r="3" spans="1:6">
      <c r="A3" s="322"/>
      <c r="B3" s="323"/>
      <c r="C3" s="324"/>
      <c r="D3" s="325"/>
      <c r="E3" s="326"/>
      <c r="F3" s="327" t="s">
        <v>2</v>
      </c>
    </row>
    <row r="4" ht="14.4" spans="1:6">
      <c r="A4" s="328" t="s">
        <v>3</v>
      </c>
      <c r="B4" s="329" t="s">
        <v>4</v>
      </c>
      <c r="C4" s="329" t="s">
        <v>5</v>
      </c>
      <c r="D4" s="330" t="s">
        <v>6</v>
      </c>
      <c r="E4" s="331" t="s">
        <v>7</v>
      </c>
      <c r="F4" s="331" t="s">
        <v>8</v>
      </c>
    </row>
    <row r="5" ht="14.4" spans="1:6">
      <c r="A5" s="332" t="s">
        <v>9</v>
      </c>
      <c r="B5" s="333" t="e">
        <f>B7+B20</f>
        <v>#REF!</v>
      </c>
      <c r="C5" s="333">
        <f>C7+C20</f>
        <v>47825</v>
      </c>
      <c r="D5" s="333">
        <f>D7+D20</f>
        <v>50214.24</v>
      </c>
      <c r="E5" s="333">
        <f t="shared" ref="E5:E44" si="0">D5-C5</f>
        <v>2389.24</v>
      </c>
      <c r="F5" s="334">
        <f t="shared" ref="F5:F18" si="1">D5/C5-1</f>
        <v>0.0499579717720857</v>
      </c>
    </row>
    <row r="6" ht="14.4" spans="1:6">
      <c r="A6" s="335" t="s">
        <v>10</v>
      </c>
      <c r="B6" s="333" t="e">
        <f>B7/B5*100</f>
        <v>#REF!</v>
      </c>
      <c r="C6" s="333">
        <f>C7/C5*100</f>
        <v>71.6131730266597</v>
      </c>
      <c r="D6" s="333">
        <f>D7/D5*100</f>
        <v>73.6622121533653</v>
      </c>
      <c r="E6" s="333"/>
      <c r="F6" s="334">
        <f t="shared" si="1"/>
        <v>0.0286126007283989</v>
      </c>
    </row>
    <row r="7" ht="14.4" spans="1:6">
      <c r="A7" s="336" t="s">
        <v>11</v>
      </c>
      <c r="B7" s="333">
        <f>SUM(B8:B19)</f>
        <v>33895</v>
      </c>
      <c r="C7" s="333">
        <f>SUM(C8:C19)</f>
        <v>34249</v>
      </c>
      <c r="D7" s="333">
        <f>SUM(D8:D19)</f>
        <v>36988.92</v>
      </c>
      <c r="E7" s="333">
        <f t="shared" si="0"/>
        <v>2739.92</v>
      </c>
      <c r="F7" s="334">
        <f t="shared" si="1"/>
        <v>0.0799999999999998</v>
      </c>
    </row>
    <row r="8" ht="14.4" spans="1:6">
      <c r="A8" s="337" t="s">
        <v>12</v>
      </c>
      <c r="B8" s="333">
        <v>13968</v>
      </c>
      <c r="C8" s="333">
        <v>10862</v>
      </c>
      <c r="D8" s="333">
        <f t="shared" ref="D8:D18" si="2">C8+C8*0.08</f>
        <v>11730.96</v>
      </c>
      <c r="E8" s="333">
        <f t="shared" si="0"/>
        <v>868.959999999999</v>
      </c>
      <c r="F8" s="334">
        <f t="shared" si="1"/>
        <v>0.0799999999999998</v>
      </c>
    </row>
    <row r="9" ht="14.4" spans="1:6">
      <c r="A9" s="337" t="s">
        <v>13</v>
      </c>
      <c r="B9" s="333">
        <v>4147</v>
      </c>
      <c r="C9" s="333">
        <v>4164</v>
      </c>
      <c r="D9" s="333">
        <f t="shared" si="2"/>
        <v>4497.12</v>
      </c>
      <c r="E9" s="333">
        <f t="shared" si="0"/>
        <v>333.12</v>
      </c>
      <c r="F9" s="334">
        <f t="shared" si="1"/>
        <v>0.0800000000000001</v>
      </c>
    </row>
    <row r="10" ht="14.4" spans="1:6">
      <c r="A10" s="337" t="s">
        <v>14</v>
      </c>
      <c r="B10" s="333">
        <v>2781</v>
      </c>
      <c r="C10" s="333">
        <v>1052</v>
      </c>
      <c r="D10" s="333">
        <f t="shared" si="2"/>
        <v>1136.16</v>
      </c>
      <c r="E10" s="333">
        <f t="shared" si="0"/>
        <v>84.1600000000001</v>
      </c>
      <c r="F10" s="334">
        <f t="shared" si="1"/>
        <v>0.0800000000000001</v>
      </c>
    </row>
    <row r="11" ht="14.4" spans="1:6">
      <c r="A11" s="337" t="s">
        <v>15</v>
      </c>
      <c r="B11" s="333">
        <v>6</v>
      </c>
      <c r="C11" s="333">
        <v>2</v>
      </c>
      <c r="D11" s="333">
        <f t="shared" si="2"/>
        <v>2.16</v>
      </c>
      <c r="E11" s="333">
        <f t="shared" si="0"/>
        <v>0.16</v>
      </c>
      <c r="F11" s="334">
        <f t="shared" si="1"/>
        <v>0.0800000000000001</v>
      </c>
    </row>
    <row r="12" ht="14.4" spans="1:6">
      <c r="A12" s="337" t="s">
        <v>16</v>
      </c>
      <c r="B12" s="333">
        <v>4363</v>
      </c>
      <c r="C12" s="333">
        <v>3728</v>
      </c>
      <c r="D12" s="333">
        <f t="shared" si="2"/>
        <v>4026.24</v>
      </c>
      <c r="E12" s="333">
        <f t="shared" si="0"/>
        <v>298.24</v>
      </c>
      <c r="F12" s="334">
        <f t="shared" si="1"/>
        <v>0.0799999999999998</v>
      </c>
    </row>
    <row r="13" ht="14.4" spans="1:6">
      <c r="A13" s="337" t="s">
        <v>17</v>
      </c>
      <c r="B13" s="333">
        <v>3419</v>
      </c>
      <c r="C13" s="333">
        <v>2867</v>
      </c>
      <c r="D13" s="333">
        <f t="shared" si="2"/>
        <v>3096.36</v>
      </c>
      <c r="E13" s="333">
        <f t="shared" si="0"/>
        <v>229.36</v>
      </c>
      <c r="F13" s="334">
        <f t="shared" si="1"/>
        <v>0.0800000000000001</v>
      </c>
    </row>
    <row r="14" ht="14.4" spans="1:6">
      <c r="A14" s="337" t="s">
        <v>18</v>
      </c>
      <c r="B14" s="333">
        <v>563</v>
      </c>
      <c r="C14" s="333">
        <v>691</v>
      </c>
      <c r="D14" s="333">
        <f t="shared" si="2"/>
        <v>746.28</v>
      </c>
      <c r="E14" s="333">
        <f t="shared" si="0"/>
        <v>55.28</v>
      </c>
      <c r="F14" s="334">
        <f t="shared" si="1"/>
        <v>0.0800000000000001</v>
      </c>
    </row>
    <row r="15" ht="14.4" spans="1:6">
      <c r="A15" s="337" t="s">
        <v>19</v>
      </c>
      <c r="B15" s="333">
        <v>854</v>
      </c>
      <c r="C15" s="333">
        <v>1007</v>
      </c>
      <c r="D15" s="333">
        <f t="shared" si="2"/>
        <v>1087.56</v>
      </c>
      <c r="E15" s="333">
        <f t="shared" si="0"/>
        <v>80.5599999999999</v>
      </c>
      <c r="F15" s="334">
        <f t="shared" si="1"/>
        <v>0.0799999999999998</v>
      </c>
    </row>
    <row r="16" ht="14.4" spans="1:6">
      <c r="A16" s="337" t="s">
        <v>20</v>
      </c>
      <c r="B16" s="333">
        <v>2774</v>
      </c>
      <c r="C16" s="333">
        <v>8756</v>
      </c>
      <c r="D16" s="333">
        <f t="shared" si="2"/>
        <v>9456.48</v>
      </c>
      <c r="E16" s="333">
        <f t="shared" si="0"/>
        <v>700.48</v>
      </c>
      <c r="F16" s="334">
        <f t="shared" si="1"/>
        <v>0.0799999999999998</v>
      </c>
    </row>
    <row r="17" ht="14.4" spans="1:6">
      <c r="A17" s="337" t="s">
        <v>21</v>
      </c>
      <c r="B17" s="333">
        <v>981</v>
      </c>
      <c r="C17" s="333">
        <v>1080</v>
      </c>
      <c r="D17" s="333">
        <f t="shared" si="2"/>
        <v>1166.4</v>
      </c>
      <c r="E17" s="333">
        <f t="shared" si="0"/>
        <v>86.4000000000001</v>
      </c>
      <c r="F17" s="334">
        <f t="shared" si="1"/>
        <v>0.0800000000000001</v>
      </c>
    </row>
    <row r="18" ht="14.4" spans="1:6">
      <c r="A18" s="337" t="s">
        <v>22</v>
      </c>
      <c r="B18" s="333">
        <v>39</v>
      </c>
      <c r="C18" s="333">
        <v>40</v>
      </c>
      <c r="D18" s="333">
        <f t="shared" si="2"/>
        <v>43.2</v>
      </c>
      <c r="E18" s="333">
        <f t="shared" si="0"/>
        <v>3.2</v>
      </c>
      <c r="F18" s="334">
        <f t="shared" si="1"/>
        <v>0.0800000000000001</v>
      </c>
    </row>
    <row r="19" ht="14.4" spans="1:6">
      <c r="A19" s="337" t="s">
        <v>23</v>
      </c>
      <c r="B19" s="333"/>
      <c r="C19" s="333"/>
      <c r="D19" s="333">
        <f>C19+C19*0.07</f>
        <v>0</v>
      </c>
      <c r="E19" s="333">
        <f t="shared" si="0"/>
        <v>0</v>
      </c>
      <c r="F19" s="334"/>
    </row>
    <row r="20" ht="14.4" spans="1:6">
      <c r="A20" s="336" t="s">
        <v>24</v>
      </c>
      <c r="B20" s="333" t="e">
        <f>B21+B25+B26+#REF!+B27+B29+B28</f>
        <v>#REF!</v>
      </c>
      <c r="C20" s="333">
        <f>C21+C25+C26+C27+C29+C28</f>
        <v>13576</v>
      </c>
      <c r="D20" s="333">
        <f>D21+D25+D26+D27+D29+D28</f>
        <v>13225.32</v>
      </c>
      <c r="E20" s="333">
        <f t="shared" si="0"/>
        <v>-350.68</v>
      </c>
      <c r="F20" s="334">
        <f t="shared" ref="F20:F45" si="3">D20/C20-1</f>
        <v>-0.0258308780200354</v>
      </c>
    </row>
    <row r="21" ht="14.4" spans="1:6">
      <c r="A21" s="337" t="s">
        <v>25</v>
      </c>
      <c r="B21" s="333">
        <f>B22+B23</f>
        <v>3387</v>
      </c>
      <c r="C21" s="333">
        <f>C22+C23+C24</f>
        <v>2892</v>
      </c>
      <c r="D21" s="333">
        <f>D22+D23+D24</f>
        <v>3385.32</v>
      </c>
      <c r="E21" s="333">
        <f t="shared" si="0"/>
        <v>493.32</v>
      </c>
      <c r="F21" s="334">
        <f t="shared" si="3"/>
        <v>0.170580912863071</v>
      </c>
    </row>
    <row r="22" ht="14.4" spans="1:6">
      <c r="A22" s="337" t="s">
        <v>26</v>
      </c>
      <c r="B22" s="333">
        <v>301</v>
      </c>
      <c r="C22" s="333">
        <v>192</v>
      </c>
      <c r="D22" s="333">
        <f>C22+C22*0.08</f>
        <v>207.36</v>
      </c>
      <c r="E22" s="333">
        <f t="shared" si="0"/>
        <v>15.36</v>
      </c>
      <c r="F22" s="334">
        <f t="shared" si="3"/>
        <v>0.0800000000000001</v>
      </c>
    </row>
    <row r="23" ht="14.4" spans="1:6">
      <c r="A23" s="337" t="s">
        <v>27</v>
      </c>
      <c r="B23" s="333">
        <v>3086</v>
      </c>
      <c r="C23" s="333">
        <v>2637</v>
      </c>
      <c r="D23" s="333">
        <f>C23+C23*0.08</f>
        <v>2847.96</v>
      </c>
      <c r="E23" s="333">
        <f t="shared" si="0"/>
        <v>210.96</v>
      </c>
      <c r="F23" s="334">
        <f t="shared" si="3"/>
        <v>0.0800000000000001</v>
      </c>
    </row>
    <row r="24" ht="14.4" spans="1:6">
      <c r="A24" s="337" t="s">
        <v>28</v>
      </c>
      <c r="B24" s="333"/>
      <c r="C24" s="333">
        <v>63</v>
      </c>
      <c r="D24" s="333">
        <v>330</v>
      </c>
      <c r="E24" s="333">
        <f t="shared" si="0"/>
        <v>267</v>
      </c>
      <c r="F24" s="334">
        <f t="shared" si="3"/>
        <v>4.23809523809524</v>
      </c>
    </row>
    <row r="25" ht="14.4" spans="1:6">
      <c r="A25" s="337" t="s">
        <v>29</v>
      </c>
      <c r="B25" s="333">
        <v>3191</v>
      </c>
      <c r="C25" s="333">
        <v>3175</v>
      </c>
      <c r="D25" s="333">
        <f t="shared" ref="D25:D28" si="4">C25</f>
        <v>3175</v>
      </c>
      <c r="E25" s="333">
        <f t="shared" si="0"/>
        <v>0</v>
      </c>
      <c r="F25" s="334">
        <f t="shared" si="3"/>
        <v>0</v>
      </c>
    </row>
    <row r="26" ht="14.4" spans="1:6">
      <c r="A26" s="337" t="s">
        <v>30</v>
      </c>
      <c r="B26" s="333">
        <v>1038</v>
      </c>
      <c r="C26" s="333">
        <v>538</v>
      </c>
      <c r="D26" s="333">
        <f t="shared" si="4"/>
        <v>538</v>
      </c>
      <c r="E26" s="333">
        <f t="shared" si="0"/>
        <v>0</v>
      </c>
      <c r="F26" s="334">
        <f t="shared" si="3"/>
        <v>0</v>
      </c>
    </row>
    <row r="27" ht="14.4" spans="1:6">
      <c r="A27" s="337" t="s">
        <v>31</v>
      </c>
      <c r="B27" s="333">
        <v>1574</v>
      </c>
      <c r="C27" s="333">
        <v>2732</v>
      </c>
      <c r="D27" s="333">
        <f t="shared" si="4"/>
        <v>2732</v>
      </c>
      <c r="E27" s="333">
        <f t="shared" si="0"/>
        <v>0</v>
      </c>
      <c r="F27" s="334">
        <f t="shared" si="3"/>
        <v>0</v>
      </c>
    </row>
    <row r="28" ht="14.4" spans="1:6">
      <c r="A28" s="337" t="s">
        <v>32</v>
      </c>
      <c r="B28" s="333">
        <v>577</v>
      </c>
      <c r="C28" s="333">
        <v>388</v>
      </c>
      <c r="D28" s="333">
        <f t="shared" si="4"/>
        <v>388</v>
      </c>
      <c r="E28" s="333">
        <f t="shared" si="0"/>
        <v>0</v>
      </c>
      <c r="F28" s="334">
        <f t="shared" si="3"/>
        <v>0</v>
      </c>
    </row>
    <row r="29" ht="14.4" spans="1:6">
      <c r="A29" s="337" t="s">
        <v>33</v>
      </c>
      <c r="B29" s="333">
        <v>3965</v>
      </c>
      <c r="C29" s="333">
        <v>3851</v>
      </c>
      <c r="D29" s="333">
        <v>3007</v>
      </c>
      <c r="E29" s="333">
        <f t="shared" si="0"/>
        <v>-844</v>
      </c>
      <c r="F29" s="334">
        <f t="shared" si="3"/>
        <v>-0.219163853544534</v>
      </c>
    </row>
    <row r="30" ht="14.4" spans="1:6">
      <c r="A30" s="332" t="s">
        <v>34</v>
      </c>
      <c r="B30" s="333">
        <f>SUM(B31:B34)</f>
        <v>54582.7142857143</v>
      </c>
      <c r="C30" s="333">
        <f>SUM(C31:C34)</f>
        <v>48494.8095238095</v>
      </c>
      <c r="D30" s="333">
        <f>SUM(D31:D34)</f>
        <v>51689.3442857143</v>
      </c>
      <c r="E30" s="333">
        <f t="shared" si="0"/>
        <v>3194.53476190476</v>
      </c>
      <c r="F30" s="334">
        <f t="shared" si="3"/>
        <v>0.065873745938446</v>
      </c>
    </row>
    <row r="31" ht="14.4" spans="1:6">
      <c r="A31" s="337" t="s">
        <v>12</v>
      </c>
      <c r="B31" s="333">
        <f>B8/0.375*0.5</f>
        <v>18624</v>
      </c>
      <c r="C31" s="333">
        <f>C8/0.375*0.5</f>
        <v>14482.6666666667</v>
      </c>
      <c r="D31" s="333">
        <f>D8/0.375*0.5</f>
        <v>15641.28</v>
      </c>
      <c r="E31" s="333">
        <f t="shared" si="0"/>
        <v>1158.61333333333</v>
      </c>
      <c r="F31" s="334">
        <f t="shared" si="3"/>
        <v>0.0800000000000001</v>
      </c>
    </row>
    <row r="32" ht="14.4" spans="1:6">
      <c r="A32" s="337" t="s">
        <v>35</v>
      </c>
      <c r="B32" s="333">
        <v>21113</v>
      </c>
      <c r="C32" s="333">
        <v>22835</v>
      </c>
      <c r="D32" s="333">
        <f>C32+C32*0.05</f>
        <v>23976.75</v>
      </c>
      <c r="E32" s="333">
        <f t="shared" si="0"/>
        <v>1141.75</v>
      </c>
      <c r="F32" s="334">
        <f t="shared" si="3"/>
        <v>0.05</v>
      </c>
    </row>
    <row r="33" ht="14.4" spans="1:6">
      <c r="A33" s="337" t="s">
        <v>36</v>
      </c>
      <c r="B33" s="333">
        <f>B9/0.28*0.6</f>
        <v>8886.42857142857</v>
      </c>
      <c r="C33" s="333">
        <f>C9/0.28*0.6</f>
        <v>8922.85714285714</v>
      </c>
      <c r="D33" s="333">
        <f>D9/0.28*0.6</f>
        <v>9636.68571428571</v>
      </c>
      <c r="E33" s="333">
        <f t="shared" si="0"/>
        <v>713.828571428572</v>
      </c>
      <c r="F33" s="334">
        <f t="shared" si="3"/>
        <v>0.0800000000000001</v>
      </c>
    </row>
    <row r="34" ht="14.4" spans="1:6">
      <c r="A34" s="337" t="s">
        <v>37</v>
      </c>
      <c r="B34" s="333">
        <f>B10/0.28*0.6</f>
        <v>5959.28571428571</v>
      </c>
      <c r="C34" s="333">
        <f>C10/0.28*0.6</f>
        <v>2254.28571428571</v>
      </c>
      <c r="D34" s="333">
        <f>D10/0.28*0.6</f>
        <v>2434.62857142857</v>
      </c>
      <c r="E34" s="333">
        <f t="shared" si="0"/>
        <v>180.342857142857</v>
      </c>
      <c r="F34" s="334">
        <f t="shared" si="3"/>
        <v>0.0800000000000001</v>
      </c>
    </row>
    <row r="35" ht="14.4" spans="1:6">
      <c r="A35" s="332" t="s">
        <v>38</v>
      </c>
      <c r="B35" s="333">
        <f>SUM(B36:B41)</f>
        <v>8009.85714285714</v>
      </c>
      <c r="C35" s="333">
        <f>SUM(C36:C41)</f>
        <v>6305.47619047619</v>
      </c>
      <c r="D35" s="333">
        <f>SUM(D36:D41)</f>
        <v>6809.91428571429</v>
      </c>
      <c r="E35" s="333">
        <f t="shared" si="0"/>
        <v>504.438095238094</v>
      </c>
      <c r="F35" s="334">
        <f t="shared" si="3"/>
        <v>0.0799999999999998</v>
      </c>
    </row>
    <row r="36" ht="14.4" spans="1:6">
      <c r="A36" s="337" t="s">
        <v>12</v>
      </c>
      <c r="B36" s="333">
        <f>B8/0.375*0.125</f>
        <v>4656</v>
      </c>
      <c r="C36" s="333">
        <f>C8/0.375*0.125</f>
        <v>3620.66666666667</v>
      </c>
      <c r="D36" s="333">
        <f>D8/0.375*0.125</f>
        <v>3910.32</v>
      </c>
      <c r="E36" s="333">
        <f t="shared" si="0"/>
        <v>289.653333333333</v>
      </c>
      <c r="F36" s="334">
        <f t="shared" si="3"/>
        <v>0.0800000000000001</v>
      </c>
    </row>
    <row r="37" ht="14.4" spans="1:6">
      <c r="A37" s="337" t="s">
        <v>36</v>
      </c>
      <c r="B37" s="333">
        <f>B9/0.28*0.12</f>
        <v>1777.28571428571</v>
      </c>
      <c r="C37" s="333">
        <f>C9/0.28*0.12</f>
        <v>1784.57142857143</v>
      </c>
      <c r="D37" s="333">
        <f>D9/0.28*0.12</f>
        <v>1927.33714285714</v>
      </c>
      <c r="E37" s="333">
        <f t="shared" si="0"/>
        <v>142.765714285714</v>
      </c>
      <c r="F37" s="334">
        <f t="shared" si="3"/>
        <v>0.0799999999999998</v>
      </c>
    </row>
    <row r="38" ht="14.4" spans="1:6">
      <c r="A38" s="337" t="s">
        <v>37</v>
      </c>
      <c r="B38" s="333">
        <f>B10/0.28*0.12</f>
        <v>1191.85714285714</v>
      </c>
      <c r="C38" s="333">
        <f>C10/0.28*0.12</f>
        <v>450.857142857143</v>
      </c>
      <c r="D38" s="333">
        <f>D10/0.28*0.12</f>
        <v>486.925714285714</v>
      </c>
      <c r="E38" s="333">
        <f t="shared" si="0"/>
        <v>36.0685714285714</v>
      </c>
      <c r="F38" s="334">
        <f t="shared" si="3"/>
        <v>0.0800000000000001</v>
      </c>
    </row>
    <row r="39" ht="14.4" spans="1:6">
      <c r="A39" s="337" t="s">
        <v>39</v>
      </c>
      <c r="B39" s="333">
        <f>B15/0.7*0.3</f>
        <v>366</v>
      </c>
      <c r="C39" s="333">
        <f>C15/0.7*0.3</f>
        <v>431.571428571429</v>
      </c>
      <c r="D39" s="333">
        <f>D15/0.7*0.3</f>
        <v>466.097142857143</v>
      </c>
      <c r="E39" s="333">
        <f t="shared" si="0"/>
        <v>34.5257142857142</v>
      </c>
      <c r="F39" s="334">
        <f t="shared" si="3"/>
        <v>0.0799999999999998</v>
      </c>
    </row>
    <row r="40" ht="14.4" spans="1:6">
      <c r="A40" s="337" t="s">
        <v>40</v>
      </c>
      <c r="B40" s="333">
        <f>B18/0.7*0.3</f>
        <v>16.7142857142857</v>
      </c>
      <c r="C40" s="333">
        <f>C18/0.7*0.3</f>
        <v>17.1428571428571</v>
      </c>
      <c r="D40" s="333">
        <f>D18/0.7*0.3</f>
        <v>18.5142857142857</v>
      </c>
      <c r="E40" s="333">
        <f t="shared" si="0"/>
        <v>1.37142857142857</v>
      </c>
      <c r="F40" s="334">
        <f t="shared" si="3"/>
        <v>0.0800000000000001</v>
      </c>
    </row>
    <row r="41" ht="14.4" spans="1:6">
      <c r="A41" s="337" t="s">
        <v>41</v>
      </c>
      <c r="B41" s="333">
        <f>B11/0.75*0.25</f>
        <v>2</v>
      </c>
      <c r="C41" s="333">
        <f>C11/0.75*0.25</f>
        <v>0.666666666666667</v>
      </c>
      <c r="D41" s="333">
        <f>D11/0.75*0.25</f>
        <v>0.72</v>
      </c>
      <c r="E41" s="333">
        <f t="shared" si="0"/>
        <v>0.0533333333333335</v>
      </c>
      <c r="F41" s="334">
        <f t="shared" si="3"/>
        <v>0.0800000000000003</v>
      </c>
    </row>
    <row r="42" ht="14.4" spans="1:6">
      <c r="A42" s="332" t="s">
        <v>42</v>
      </c>
      <c r="B42" s="333" t="e">
        <f>B5+B30+B35</f>
        <v>#REF!</v>
      </c>
      <c r="C42" s="333">
        <f>C5+C30+C35</f>
        <v>102625.285714286</v>
      </c>
      <c r="D42" s="333">
        <f>D5+D30+D35</f>
        <v>108713.498571429</v>
      </c>
      <c r="E42" s="333">
        <f t="shared" si="0"/>
        <v>6088.21285714286</v>
      </c>
      <c r="F42" s="334">
        <f t="shared" si="3"/>
        <v>0.0593246860631675</v>
      </c>
    </row>
    <row r="43" ht="14.4" spans="1:6">
      <c r="A43" s="336" t="s">
        <v>43</v>
      </c>
      <c r="B43" s="333">
        <f>B7+B30+B35</f>
        <v>96487.5714285714</v>
      </c>
      <c r="C43" s="333">
        <f>C7+C30+C35</f>
        <v>89049.2857142857</v>
      </c>
      <c r="D43" s="333">
        <f>D7+D30+D35</f>
        <v>95488.1785714286</v>
      </c>
      <c r="E43" s="333">
        <f t="shared" si="0"/>
        <v>6438.89285714286</v>
      </c>
      <c r="F43" s="334">
        <f t="shared" si="3"/>
        <v>0.0723070691190271</v>
      </c>
    </row>
    <row r="44" ht="14.4" spans="1:6">
      <c r="A44" s="338" t="s">
        <v>44</v>
      </c>
      <c r="B44" s="333" t="e">
        <f>B42-B43</f>
        <v>#REF!</v>
      </c>
      <c r="C44" s="333">
        <f>C42-C43</f>
        <v>13576</v>
      </c>
      <c r="D44" s="333">
        <f>D42-D43</f>
        <v>13225.32</v>
      </c>
      <c r="E44" s="333">
        <f t="shared" si="0"/>
        <v>-350.679999999993</v>
      </c>
      <c r="F44" s="334">
        <f t="shared" si="3"/>
        <v>-0.0258308780200348</v>
      </c>
    </row>
    <row r="45" ht="14.4" spans="1:6">
      <c r="A45" s="336" t="s">
        <v>45</v>
      </c>
      <c r="B45" s="333" t="e">
        <f>B43/B42*100</f>
        <v>#REF!</v>
      </c>
      <c r="C45" s="333">
        <f>C43/C42*100</f>
        <v>86.7712913971355</v>
      </c>
      <c r="D45" s="333">
        <f>D43/D42*100</f>
        <v>87.8347029818836</v>
      </c>
      <c r="E45" s="333"/>
      <c r="F45" s="334">
        <f t="shared" si="3"/>
        <v>0.0122553389217304</v>
      </c>
    </row>
  </sheetData>
  <protectedRanges>
    <protectedRange sqref="A41 E8:E17 E32:E39 E27:E31 A3:A27 A30:A38 E20:E21 E25:E26 D41:E41 E5 D19:E19 D7:E7 D3:D4 D42:E45 D26:D29 D17:D18 D9:D15 E22 D22 D23" name="区域1_5"/>
    <protectedRange sqref="A39" name="区域1_5_2"/>
    <protectedRange sqref="E23" name="区域1_5_8"/>
    <protectedRange sqref="A28:A29" name="区域1_5_10"/>
    <protectedRange sqref="D30:D31 D33:D39" name="区域1_5_5_1_1"/>
    <protectedRange sqref="D5" name="区域1_5_5_1_4"/>
    <protectedRange sqref="B42 C42" name="区域1_5_5_1_5_1"/>
    <protectedRange sqref="B43 C43" name="区域1_5_5_1_6"/>
    <protectedRange sqref="B44 C44" name="区域1_5_5_1_8"/>
    <protectedRange sqref="C45" name="区域1_5_5_1_10"/>
    <protectedRange sqref="B45 C45" name="区域1_5_5_1_11"/>
    <protectedRange sqref="B5 C5" name="区域1_5_5_1_13"/>
    <protectedRange sqref="B7 C7" name="区域1_5_5_1_15"/>
    <protectedRange sqref="B20 C20 D20" name="区域1_5_5_1_16"/>
    <protectedRange sqref="C30" name="区域1_5_5_1_18"/>
    <protectedRange sqref="B30 C30" name="区域1_5_5_1_19"/>
    <protectedRange sqref="B35 C35" name="区域1_5_5_1_20"/>
    <protectedRange sqref="B31 C31" name="区域1_5_5_1_1_1"/>
    <protectedRange sqref="B32 C32" name="区域1_5_5_1_1_5"/>
    <protectedRange sqref="B33 C33" name="区域1_5_5_1_1_6"/>
    <protectedRange sqref="B34 C34" name="区域1_5_5_1_1_8"/>
    <protectedRange sqref="B36 C36" name="区域1_5_5_1_1_10"/>
    <protectedRange sqref="B37 C37" name="区域1_5_5_1_1_14"/>
    <protectedRange sqref="B38 C38" name="区域1_5_5_1_1_16"/>
    <protectedRange sqref="B39 C39" name="区域1_5_5_1_1_18"/>
    <protectedRange sqref="B41 C41" name="区域1_5_1"/>
  </protectedRanges>
  <mergeCells count="1">
    <mergeCell ref="A2:F2"/>
  </mergeCells>
  <pageMargins left="0.75" right="0.75" top="1" bottom="1" header="0.511805555555556" footer="0.511805555555556"/>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C20" sqref="C20"/>
    </sheetView>
  </sheetViews>
  <sheetFormatPr defaultColWidth="8.88888888888889" defaultRowHeight="14.4" outlineLevelCol="4"/>
  <cols>
    <col min="1" max="1" width="45" customWidth="1"/>
    <col min="2" max="5" width="17.5555555555556" customWidth="1"/>
    <col min="6" max="16384" width="9.13888888888889"/>
  </cols>
  <sheetData>
    <row r="1" spans="1:1">
      <c r="A1" s="3" t="s">
        <v>668</v>
      </c>
    </row>
    <row r="2" ht="21.6" spans="1:5">
      <c r="A2" s="133" t="s">
        <v>669</v>
      </c>
      <c r="B2" s="133"/>
      <c r="C2" s="196"/>
      <c r="D2" s="133"/>
      <c r="E2" s="133"/>
    </row>
    <row r="3" ht="15.6" spans="5:5">
      <c r="E3" s="135" t="s">
        <v>113</v>
      </c>
    </row>
    <row r="4" s="131" customFormat="1" ht="39.75" customHeight="1" spans="1:5">
      <c r="A4" s="137" t="s">
        <v>647</v>
      </c>
      <c r="B4" s="190" t="s">
        <v>590</v>
      </c>
      <c r="C4" s="191" t="s">
        <v>648</v>
      </c>
      <c r="D4" s="192" t="s">
        <v>649</v>
      </c>
      <c r="E4" s="193" t="s">
        <v>650</v>
      </c>
    </row>
    <row r="5" s="131" customFormat="1" ht="20" customHeight="1" spans="1:5">
      <c r="A5" s="194" t="s">
        <v>670</v>
      </c>
      <c r="B5" s="195">
        <f t="shared" ref="B5:B13" si="0">C5+D5+E5</f>
        <v>67407485.23</v>
      </c>
      <c r="C5" s="195">
        <v>2414880</v>
      </c>
      <c r="D5" s="195">
        <v>60994531.17</v>
      </c>
      <c r="E5" s="195">
        <v>3998074.06</v>
      </c>
    </row>
    <row r="6" s="131" customFormat="1" ht="20" customHeight="1" spans="1:5">
      <c r="A6" s="194" t="s">
        <v>653</v>
      </c>
      <c r="B6" s="195">
        <f t="shared" si="0"/>
        <v>100470039.83</v>
      </c>
      <c r="C6" s="195">
        <v>2269350</v>
      </c>
      <c r="D6" s="195">
        <v>98200689.83</v>
      </c>
      <c r="E6" s="195">
        <v>0</v>
      </c>
    </row>
    <row r="7" s="131" customFormat="1" ht="20" customHeight="1" spans="1:5">
      <c r="A7" s="138" t="s">
        <v>654</v>
      </c>
      <c r="B7" s="195">
        <f t="shared" si="0"/>
        <v>1049305.04</v>
      </c>
      <c r="C7" s="195">
        <v>213500</v>
      </c>
      <c r="D7" s="195">
        <v>450000</v>
      </c>
      <c r="E7" s="195">
        <v>385805.04</v>
      </c>
    </row>
    <row r="8" s="131" customFormat="1" ht="20" customHeight="1" spans="1:5">
      <c r="A8" s="138" t="s">
        <v>655</v>
      </c>
      <c r="B8" s="195">
        <f t="shared" si="0"/>
        <v>0</v>
      </c>
      <c r="C8" s="195">
        <v>0</v>
      </c>
      <c r="D8" s="195">
        <f t="shared" ref="D8:D12" si="1">E8+F8+G8</f>
        <v>0</v>
      </c>
      <c r="E8" s="195">
        <v>0</v>
      </c>
    </row>
    <row r="9" s="131" customFormat="1" ht="20" customHeight="1" spans="1:5">
      <c r="A9" s="138" t="s">
        <v>656</v>
      </c>
      <c r="B9" s="195">
        <f t="shared" si="0"/>
        <v>653656.82</v>
      </c>
      <c r="C9" s="195">
        <v>52000</v>
      </c>
      <c r="D9" s="195">
        <v>500000</v>
      </c>
      <c r="E9" s="195">
        <v>101656.82</v>
      </c>
    </row>
    <row r="10" s="131" customFormat="1" ht="20" customHeight="1" spans="1:5">
      <c r="A10" s="138" t="s">
        <v>657</v>
      </c>
      <c r="B10" s="195">
        <f t="shared" si="0"/>
        <v>18500</v>
      </c>
      <c r="C10" s="195">
        <v>18500</v>
      </c>
      <c r="D10" s="195">
        <v>0</v>
      </c>
      <c r="E10" s="195">
        <v>0</v>
      </c>
    </row>
    <row r="11" s="131" customFormat="1" ht="20" customHeight="1" spans="1:5">
      <c r="A11" s="138" t="s">
        <v>658</v>
      </c>
      <c r="B11" s="195">
        <f t="shared" si="0"/>
        <v>0</v>
      </c>
      <c r="C11" s="195">
        <f>D11+E11+F11</f>
        <v>0</v>
      </c>
      <c r="D11" s="195">
        <f t="shared" si="1"/>
        <v>0</v>
      </c>
      <c r="E11" s="195">
        <f>F11+G11+H11</f>
        <v>0</v>
      </c>
    </row>
    <row r="12" s="131" customFormat="1" ht="20" customHeight="1" spans="1:5">
      <c r="A12" s="197" t="s">
        <v>659</v>
      </c>
      <c r="B12" s="198">
        <f t="shared" si="0"/>
        <v>0</v>
      </c>
      <c r="C12" s="198">
        <f>D12+E12+F12</f>
        <v>0</v>
      </c>
      <c r="D12" s="198">
        <f t="shared" si="1"/>
        <v>0</v>
      </c>
      <c r="E12" s="198">
        <f>F12+G12+H12</f>
        <v>0</v>
      </c>
    </row>
    <row r="13" s="131" customFormat="1" ht="20" customHeight="1" spans="1:5">
      <c r="A13" s="199" t="s">
        <v>671</v>
      </c>
      <c r="B13" s="200">
        <f t="shared" si="0"/>
        <v>169598986.92</v>
      </c>
      <c r="C13" s="195">
        <v>4968230</v>
      </c>
      <c r="D13" s="195">
        <v>160145221</v>
      </c>
      <c r="E13" s="195">
        <v>4485535.92</v>
      </c>
    </row>
  </sheetData>
  <mergeCells count="1">
    <mergeCell ref="A2:E2"/>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B20" sqref="B20"/>
    </sheetView>
  </sheetViews>
  <sheetFormatPr defaultColWidth="8.88888888888889" defaultRowHeight="14.4" outlineLevelCol="5"/>
  <cols>
    <col min="1" max="1" width="47.5555555555556" customWidth="1"/>
    <col min="2" max="6" width="19" customWidth="1"/>
  </cols>
  <sheetData>
    <row r="1" spans="1:1">
      <c r="A1" s="3" t="s">
        <v>672</v>
      </c>
    </row>
    <row r="2" ht="24" spans="1:6">
      <c r="A2" s="187" t="s">
        <v>673</v>
      </c>
      <c r="B2" s="187"/>
      <c r="C2" s="188"/>
      <c r="D2" s="187"/>
      <c r="E2" s="187"/>
      <c r="F2" s="187"/>
    </row>
    <row r="3" ht="24" spans="1:6">
      <c r="A3" s="187"/>
      <c r="B3" s="187"/>
      <c r="C3" s="188"/>
      <c r="D3" s="187"/>
      <c r="E3" s="135" t="s">
        <v>113</v>
      </c>
      <c r="F3" s="189"/>
    </row>
    <row r="4" ht="31.2" spans="1:6">
      <c r="A4" s="137" t="s">
        <v>647</v>
      </c>
      <c r="B4" s="190" t="s">
        <v>590</v>
      </c>
      <c r="C4" s="191" t="s">
        <v>648</v>
      </c>
      <c r="D4" s="192" t="s">
        <v>649</v>
      </c>
      <c r="E4" s="193" t="s">
        <v>650</v>
      </c>
      <c r="F4" s="189"/>
    </row>
    <row r="5" ht="15.6" spans="1:5">
      <c r="A5" s="194" t="s">
        <v>674</v>
      </c>
      <c r="B5" s="195">
        <f t="shared" ref="B5:B10" si="0">C5+D5+E5</f>
        <v>165229304.64</v>
      </c>
      <c r="C5" s="195">
        <v>2386885.2</v>
      </c>
      <c r="D5" s="195">
        <v>159995221</v>
      </c>
      <c r="E5" s="195">
        <v>2847198.44</v>
      </c>
    </row>
    <row r="6" ht="15.6" spans="1:5">
      <c r="A6" s="194" t="s">
        <v>662</v>
      </c>
      <c r="B6" s="195">
        <f t="shared" si="0"/>
        <v>1968000</v>
      </c>
      <c r="C6" s="195">
        <v>1818000</v>
      </c>
      <c r="D6" s="195">
        <v>150000</v>
      </c>
      <c r="E6" s="195">
        <v>0</v>
      </c>
    </row>
    <row r="7" ht="15.6" spans="1:5">
      <c r="A7" s="138" t="s">
        <v>663</v>
      </c>
      <c r="B7" s="195">
        <f t="shared" si="0"/>
        <v>630000</v>
      </c>
      <c r="C7" s="195">
        <v>0</v>
      </c>
      <c r="D7" s="195">
        <v>0</v>
      </c>
      <c r="E7" s="195">
        <v>630000</v>
      </c>
    </row>
    <row r="8" ht="15.6" spans="1:5">
      <c r="A8" s="138" t="s">
        <v>664</v>
      </c>
      <c r="B8" s="195">
        <f t="shared" si="0"/>
        <v>0</v>
      </c>
      <c r="C8" s="195"/>
      <c r="D8" s="195"/>
      <c r="E8" s="195"/>
    </row>
    <row r="9" ht="15.6" spans="1:5">
      <c r="A9" s="138" t="s">
        <v>665</v>
      </c>
      <c r="B9" s="195">
        <f t="shared" si="0"/>
        <v>0</v>
      </c>
      <c r="C9" s="195"/>
      <c r="D9" s="195"/>
      <c r="E9" s="195"/>
    </row>
    <row r="10" ht="15.6" spans="1:5">
      <c r="A10" s="194" t="s">
        <v>675</v>
      </c>
      <c r="B10" s="195">
        <f t="shared" si="0"/>
        <v>169707455.72</v>
      </c>
      <c r="C10" s="195">
        <v>4204885.2</v>
      </c>
      <c r="D10" s="195">
        <v>160145221</v>
      </c>
      <c r="E10" s="195">
        <v>5357349.52</v>
      </c>
    </row>
  </sheetData>
  <mergeCells count="1">
    <mergeCell ref="A2:F2"/>
  </mergeCells>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N983042"/>
  <sheetViews>
    <sheetView showGridLines="0" workbookViewId="0">
      <pane topLeftCell="B5" activePane="bottomRight" state="frozen"/>
      <selection activeCell="C16" sqref="C16"/>
    </sheetView>
  </sheetViews>
  <sheetFormatPr defaultColWidth="9.13888888888889" defaultRowHeight="14.25" customHeight="1"/>
  <cols>
    <col min="1" max="1" width="36.4444444444444" style="131" customWidth="1"/>
    <col min="2" max="2" width="16.6666666666667" style="173" customWidth="1"/>
    <col min="3" max="3" width="16.8888888888889" style="173" customWidth="1"/>
    <col min="4" max="4" width="30.1111111111111" style="156" customWidth="1"/>
    <col min="5" max="6" width="16.6666666666667" style="173" customWidth="1"/>
    <col min="7" max="16384" width="9.13888888888889" style="131"/>
  </cols>
  <sheetData>
    <row r="1" customHeight="1" spans="1:1">
      <c r="A1" s="3" t="s">
        <v>676</v>
      </c>
    </row>
    <row r="2" s="131" customFormat="1" ht="37.5" customHeight="1" spans="1:6">
      <c r="A2" s="133" t="s">
        <v>677</v>
      </c>
      <c r="B2" s="133"/>
      <c r="C2" s="133"/>
      <c r="D2" s="157"/>
      <c r="E2" s="133"/>
      <c r="F2" s="133"/>
    </row>
    <row r="3" s="131" customFormat="1" ht="15.75" customHeight="1" spans="1:6">
      <c r="A3" s="158"/>
      <c r="B3" s="159"/>
      <c r="C3" s="159"/>
      <c r="D3" s="160"/>
      <c r="E3" s="159"/>
      <c r="F3" s="159" t="s">
        <v>113</v>
      </c>
    </row>
    <row r="4" s="171" customFormat="1" ht="22" customHeight="1" spans="1:6">
      <c r="A4" s="162" t="s">
        <v>647</v>
      </c>
      <c r="B4" s="162" t="s">
        <v>678</v>
      </c>
      <c r="C4" s="162" t="s">
        <v>679</v>
      </c>
      <c r="D4" s="162" t="s">
        <v>647</v>
      </c>
      <c r="E4" s="162" t="s">
        <v>678</v>
      </c>
      <c r="F4" s="162" t="s">
        <v>679</v>
      </c>
    </row>
    <row r="5" s="172" customFormat="1" ht="22" customHeight="1" spans="1:6">
      <c r="A5" s="174" t="s">
        <v>680</v>
      </c>
      <c r="B5" s="175">
        <v>2398577</v>
      </c>
      <c r="C5" s="175">
        <v>2414880</v>
      </c>
      <c r="D5" s="174" t="s">
        <v>681</v>
      </c>
      <c r="E5" s="175">
        <v>2006016</v>
      </c>
      <c r="F5" s="175">
        <v>2258995.2</v>
      </c>
    </row>
    <row r="6" s="172" customFormat="1" ht="22" customHeight="1" spans="1:6">
      <c r="A6" s="176" t="s">
        <v>682</v>
      </c>
      <c r="B6" s="175">
        <v>238500</v>
      </c>
      <c r="C6" s="175">
        <v>240900</v>
      </c>
      <c r="D6" s="176" t="s">
        <v>683</v>
      </c>
      <c r="E6" s="175">
        <v>107100</v>
      </c>
      <c r="F6" s="175">
        <v>127890</v>
      </c>
    </row>
    <row r="7" s="172" customFormat="1" ht="22" customHeight="1" spans="1:6">
      <c r="A7" s="177" t="s">
        <v>684</v>
      </c>
      <c r="B7" s="175">
        <v>6444600</v>
      </c>
      <c r="C7" s="175">
        <v>2269350</v>
      </c>
      <c r="D7" s="177" t="s">
        <v>685</v>
      </c>
      <c r="E7" s="175">
        <v>0</v>
      </c>
      <c r="F7" s="175">
        <v>0</v>
      </c>
    </row>
    <row r="8" s="172" customFormat="1" ht="22" customHeight="1" spans="1:6">
      <c r="A8" s="178" t="s">
        <v>686</v>
      </c>
      <c r="B8" s="175">
        <v>6104600</v>
      </c>
      <c r="C8" s="175">
        <v>1926000</v>
      </c>
      <c r="D8" s="178" t="s">
        <v>687</v>
      </c>
      <c r="E8" s="175">
        <v>1817480.13</v>
      </c>
      <c r="F8" s="175">
        <v>1818000</v>
      </c>
    </row>
    <row r="9" s="172" customFormat="1" ht="22" customHeight="1" spans="1:6">
      <c r="A9" s="179" t="s">
        <v>688</v>
      </c>
      <c r="B9" s="175">
        <v>340000</v>
      </c>
      <c r="C9" s="175">
        <v>343350</v>
      </c>
      <c r="D9" s="179" t="s">
        <v>689</v>
      </c>
      <c r="E9" s="175">
        <v>0</v>
      </c>
      <c r="F9" s="175">
        <v>0</v>
      </c>
    </row>
    <row r="10" s="172" customFormat="1" ht="22" customHeight="1" spans="1:6">
      <c r="A10" s="176" t="s">
        <v>690</v>
      </c>
      <c r="B10" s="175">
        <v>0</v>
      </c>
      <c r="C10" s="175">
        <v>0</v>
      </c>
      <c r="D10" s="176"/>
      <c r="E10" s="175"/>
      <c r="F10" s="175"/>
    </row>
    <row r="11" s="172" customFormat="1" ht="22" customHeight="1" spans="1:6">
      <c r="A11" s="178" t="s">
        <v>691</v>
      </c>
      <c r="B11" s="175">
        <v>213000</v>
      </c>
      <c r="C11" s="175">
        <v>213500</v>
      </c>
      <c r="D11" s="178"/>
      <c r="E11" s="175"/>
      <c r="F11" s="175"/>
    </row>
    <row r="12" s="172" customFormat="1" ht="22" customHeight="1" spans="1:6">
      <c r="A12" s="178" t="s">
        <v>692</v>
      </c>
      <c r="B12" s="175">
        <v>0</v>
      </c>
      <c r="C12" s="175">
        <v>0</v>
      </c>
      <c r="D12" s="178"/>
      <c r="E12" s="175"/>
      <c r="F12" s="175"/>
    </row>
    <row r="13" s="172" customFormat="1" ht="22" customHeight="1" spans="1:6">
      <c r="A13" s="138" t="s">
        <v>693</v>
      </c>
      <c r="B13" s="175">
        <v>51867.99</v>
      </c>
      <c r="C13" s="175">
        <v>52000</v>
      </c>
      <c r="D13" s="138"/>
      <c r="E13" s="175"/>
      <c r="F13" s="175"/>
    </row>
    <row r="14" s="172" customFormat="1" ht="22" customHeight="1" spans="1:6">
      <c r="A14" s="138" t="s">
        <v>694</v>
      </c>
      <c r="B14" s="175">
        <v>18000</v>
      </c>
      <c r="C14" s="175">
        <v>18500</v>
      </c>
      <c r="D14" s="138"/>
      <c r="E14" s="175"/>
      <c r="F14" s="175"/>
    </row>
    <row r="15" s="172" customFormat="1" ht="22" customHeight="1" spans="1:6">
      <c r="A15" s="138" t="s">
        <v>695</v>
      </c>
      <c r="B15" s="175">
        <f>B5+B7+B10+B11+B12+B13+B14</f>
        <v>9126044.99</v>
      </c>
      <c r="C15" s="175">
        <f>C5+C7+C10+C11+C12+C13+C14</f>
        <v>4968230</v>
      </c>
      <c r="D15" s="138" t="s">
        <v>696</v>
      </c>
      <c r="E15" s="175">
        <f>E5+E6+E7+E8+E9</f>
        <v>3930596.13</v>
      </c>
      <c r="F15" s="175">
        <f>F5+F6+F7+F8+F9</f>
        <v>4204885.2</v>
      </c>
    </row>
    <row r="16" s="172" customFormat="1" ht="22" customHeight="1" spans="1:6">
      <c r="A16" s="138" t="s">
        <v>697</v>
      </c>
      <c r="B16" s="175">
        <v>0</v>
      </c>
      <c r="C16" s="175">
        <v>0</v>
      </c>
      <c r="D16" s="138" t="s">
        <v>698</v>
      </c>
      <c r="E16" s="175">
        <v>0</v>
      </c>
      <c r="F16" s="175">
        <v>0</v>
      </c>
    </row>
    <row r="17" s="172" customFormat="1" ht="22" customHeight="1" spans="1:6">
      <c r="A17" s="138" t="s">
        <v>699</v>
      </c>
      <c r="B17" s="175">
        <v>0</v>
      </c>
      <c r="C17" s="175">
        <v>0</v>
      </c>
      <c r="D17" s="138" t="s">
        <v>700</v>
      </c>
      <c r="E17" s="175">
        <v>0</v>
      </c>
      <c r="F17" s="175">
        <v>0</v>
      </c>
    </row>
    <row r="18" s="172" customFormat="1" ht="22" customHeight="1" spans="1:6">
      <c r="A18" s="180" t="s">
        <v>701</v>
      </c>
      <c r="B18" s="175">
        <f t="shared" ref="B18:F18" si="0">B15+B16+B17</f>
        <v>9126044.99</v>
      </c>
      <c r="C18" s="175">
        <f t="shared" si="0"/>
        <v>4968230</v>
      </c>
      <c r="D18" s="180" t="s">
        <v>702</v>
      </c>
      <c r="E18" s="175">
        <f t="shared" si="0"/>
        <v>3930596.13</v>
      </c>
      <c r="F18" s="175">
        <f t="shared" si="0"/>
        <v>4204885.2</v>
      </c>
    </row>
    <row r="19" s="172" customFormat="1" ht="22" customHeight="1" spans="1:6">
      <c r="A19" s="181"/>
      <c r="B19" s="175"/>
      <c r="C19" s="175"/>
      <c r="D19" s="180" t="s">
        <v>703</v>
      </c>
      <c r="E19" s="175">
        <f>B18-E18</f>
        <v>5195448.86</v>
      </c>
      <c r="F19" s="175">
        <f>C18-F18</f>
        <v>763344.8</v>
      </c>
    </row>
    <row r="20" s="172" customFormat="1" ht="22" customHeight="1" spans="1:6">
      <c r="A20" s="174" t="s">
        <v>704</v>
      </c>
      <c r="B20" s="175">
        <v>52681561.87</v>
      </c>
      <c r="C20" s="175">
        <f>E20</f>
        <v>57877010.73</v>
      </c>
      <c r="D20" s="174" t="s">
        <v>705</v>
      </c>
      <c r="E20" s="175">
        <f>B20+E19</f>
        <v>57877010.73</v>
      </c>
      <c r="F20" s="175">
        <f>C20+F19</f>
        <v>58640355.53</v>
      </c>
    </row>
    <row r="21" s="171" customFormat="1" ht="22" customHeight="1" spans="1:6">
      <c r="A21" s="162" t="s">
        <v>706</v>
      </c>
      <c r="B21" s="182">
        <f t="shared" ref="B21:F21" si="1">B18+B20</f>
        <v>61807606.86</v>
      </c>
      <c r="C21" s="182">
        <f t="shared" si="1"/>
        <v>62845240.73</v>
      </c>
      <c r="D21" s="162" t="s">
        <v>706</v>
      </c>
      <c r="E21" s="182">
        <f t="shared" si="1"/>
        <v>61807606.86</v>
      </c>
      <c r="F21" s="182">
        <f t="shared" si="1"/>
        <v>62845240.73</v>
      </c>
    </row>
    <row r="22" s="131" customFormat="1" ht="15.75" customHeight="1" spans="1:6">
      <c r="A22" s="183"/>
      <c r="B22" s="184"/>
      <c r="C22" s="184"/>
      <c r="D22" s="185"/>
      <c r="E22" s="186"/>
      <c r="F22" s="186"/>
    </row>
  </sheetData>
  <mergeCells count="1024">
    <mergeCell ref="A2:F2"/>
    <mergeCell ref="IW2:JB2"/>
    <mergeCell ref="SS2:SX2"/>
    <mergeCell ref="ACO2:ACT2"/>
    <mergeCell ref="AMK2:AMP2"/>
    <mergeCell ref="AWG2:AWL2"/>
    <mergeCell ref="BGC2:BGH2"/>
    <mergeCell ref="BPY2:BQD2"/>
    <mergeCell ref="BZU2:BZZ2"/>
    <mergeCell ref="CJQ2:CJV2"/>
    <mergeCell ref="CTM2:CTR2"/>
    <mergeCell ref="DDI2:DDN2"/>
    <mergeCell ref="DNE2:DNJ2"/>
    <mergeCell ref="DXA2:DXF2"/>
    <mergeCell ref="EGW2:EHB2"/>
    <mergeCell ref="EQS2:EQX2"/>
    <mergeCell ref="FAO2:FAT2"/>
    <mergeCell ref="FKK2:FKP2"/>
    <mergeCell ref="FUG2:FUL2"/>
    <mergeCell ref="GEC2:GEH2"/>
    <mergeCell ref="GNY2:GOD2"/>
    <mergeCell ref="GXU2:GXZ2"/>
    <mergeCell ref="HHQ2:HHV2"/>
    <mergeCell ref="HRM2:HRR2"/>
    <mergeCell ref="IBI2:IBN2"/>
    <mergeCell ref="ILE2:ILJ2"/>
    <mergeCell ref="IVA2:IVF2"/>
    <mergeCell ref="JEW2:JFB2"/>
    <mergeCell ref="JOS2:JOX2"/>
    <mergeCell ref="JYO2:JYT2"/>
    <mergeCell ref="KIK2:KIP2"/>
    <mergeCell ref="KSG2:KSL2"/>
    <mergeCell ref="LCC2:LCH2"/>
    <mergeCell ref="LLY2:LMD2"/>
    <mergeCell ref="LVU2:LVZ2"/>
    <mergeCell ref="MFQ2:MFV2"/>
    <mergeCell ref="MPM2:MPR2"/>
    <mergeCell ref="MZI2:MZN2"/>
    <mergeCell ref="NJE2:NJJ2"/>
    <mergeCell ref="NTA2:NTF2"/>
    <mergeCell ref="OCW2:ODB2"/>
    <mergeCell ref="OMS2:OMX2"/>
    <mergeCell ref="OWO2:OWT2"/>
    <mergeCell ref="PGK2:PGP2"/>
    <mergeCell ref="PQG2:PQL2"/>
    <mergeCell ref="QAC2:QAH2"/>
    <mergeCell ref="QJY2:QKD2"/>
    <mergeCell ref="QTU2:QTZ2"/>
    <mergeCell ref="RDQ2:RDV2"/>
    <mergeCell ref="RNM2:RNR2"/>
    <mergeCell ref="RXI2:RXN2"/>
    <mergeCell ref="SHE2:SHJ2"/>
    <mergeCell ref="SRA2:SRF2"/>
    <mergeCell ref="TAW2:TBB2"/>
    <mergeCell ref="TKS2:TKX2"/>
    <mergeCell ref="TUO2:TUT2"/>
    <mergeCell ref="UEK2:UEP2"/>
    <mergeCell ref="UOG2:UOL2"/>
    <mergeCell ref="UYC2:UYH2"/>
    <mergeCell ref="VHY2:VID2"/>
    <mergeCell ref="VRU2:VRZ2"/>
    <mergeCell ref="WBQ2:WBV2"/>
    <mergeCell ref="WLM2:WLR2"/>
    <mergeCell ref="WVI2:WVN2"/>
    <mergeCell ref="A65538:F65538"/>
    <mergeCell ref="IW65538:JB65538"/>
    <mergeCell ref="SS65538:SX65538"/>
    <mergeCell ref="ACO65538:ACT65538"/>
    <mergeCell ref="AMK65538:AMP65538"/>
    <mergeCell ref="AWG65538:AWL65538"/>
    <mergeCell ref="BGC65538:BGH65538"/>
    <mergeCell ref="BPY65538:BQD65538"/>
    <mergeCell ref="BZU65538:BZZ65538"/>
    <mergeCell ref="CJQ65538:CJV65538"/>
    <mergeCell ref="CTM65538:CTR65538"/>
    <mergeCell ref="DDI65538:DDN65538"/>
    <mergeCell ref="DNE65538:DNJ65538"/>
    <mergeCell ref="DXA65538:DXF65538"/>
    <mergeCell ref="EGW65538:EHB65538"/>
    <mergeCell ref="EQS65538:EQX65538"/>
    <mergeCell ref="FAO65538:FAT65538"/>
    <mergeCell ref="FKK65538:FKP65538"/>
    <mergeCell ref="FUG65538:FUL65538"/>
    <mergeCell ref="GEC65538:GEH65538"/>
    <mergeCell ref="GNY65538:GOD65538"/>
    <mergeCell ref="GXU65538:GXZ65538"/>
    <mergeCell ref="HHQ65538:HHV65538"/>
    <mergeCell ref="HRM65538:HRR65538"/>
    <mergeCell ref="IBI65538:IBN65538"/>
    <mergeCell ref="ILE65538:ILJ65538"/>
    <mergeCell ref="IVA65538:IVF65538"/>
    <mergeCell ref="JEW65538:JFB65538"/>
    <mergeCell ref="JOS65538:JOX65538"/>
    <mergeCell ref="JYO65538:JYT65538"/>
    <mergeCell ref="KIK65538:KIP65538"/>
    <mergeCell ref="KSG65538:KSL65538"/>
    <mergeCell ref="LCC65538:LCH65538"/>
    <mergeCell ref="LLY65538:LMD65538"/>
    <mergeCell ref="LVU65538:LVZ65538"/>
    <mergeCell ref="MFQ65538:MFV65538"/>
    <mergeCell ref="MPM65538:MPR65538"/>
    <mergeCell ref="MZI65538:MZN65538"/>
    <mergeCell ref="NJE65538:NJJ65538"/>
    <mergeCell ref="NTA65538:NTF65538"/>
    <mergeCell ref="OCW65538:ODB65538"/>
    <mergeCell ref="OMS65538:OMX65538"/>
    <mergeCell ref="OWO65538:OWT65538"/>
    <mergeCell ref="PGK65538:PGP65538"/>
    <mergeCell ref="PQG65538:PQL65538"/>
    <mergeCell ref="QAC65538:QAH65538"/>
    <mergeCell ref="QJY65538:QKD65538"/>
    <mergeCell ref="QTU65538:QTZ65538"/>
    <mergeCell ref="RDQ65538:RDV65538"/>
    <mergeCell ref="RNM65538:RNR65538"/>
    <mergeCell ref="RXI65538:RXN65538"/>
    <mergeCell ref="SHE65538:SHJ65538"/>
    <mergeCell ref="SRA65538:SRF65538"/>
    <mergeCell ref="TAW65538:TBB65538"/>
    <mergeCell ref="TKS65538:TKX65538"/>
    <mergeCell ref="TUO65538:TUT65538"/>
    <mergeCell ref="UEK65538:UEP65538"/>
    <mergeCell ref="UOG65538:UOL65538"/>
    <mergeCell ref="UYC65538:UYH65538"/>
    <mergeCell ref="VHY65538:VID65538"/>
    <mergeCell ref="VRU65538:VRZ65538"/>
    <mergeCell ref="WBQ65538:WBV65538"/>
    <mergeCell ref="WLM65538:WLR65538"/>
    <mergeCell ref="WVI65538:WVN65538"/>
    <mergeCell ref="A131074:F131074"/>
    <mergeCell ref="IW131074:JB131074"/>
    <mergeCell ref="SS131074:SX131074"/>
    <mergeCell ref="ACO131074:ACT131074"/>
    <mergeCell ref="AMK131074:AMP131074"/>
    <mergeCell ref="AWG131074:AWL131074"/>
    <mergeCell ref="BGC131074:BGH131074"/>
    <mergeCell ref="BPY131074:BQD131074"/>
    <mergeCell ref="BZU131074:BZZ131074"/>
    <mergeCell ref="CJQ131074:CJV131074"/>
    <mergeCell ref="CTM131074:CTR131074"/>
    <mergeCell ref="DDI131074:DDN131074"/>
    <mergeCell ref="DNE131074:DNJ131074"/>
    <mergeCell ref="DXA131074:DXF131074"/>
    <mergeCell ref="EGW131074:EHB131074"/>
    <mergeCell ref="EQS131074:EQX131074"/>
    <mergeCell ref="FAO131074:FAT131074"/>
    <mergeCell ref="FKK131074:FKP131074"/>
    <mergeCell ref="FUG131074:FUL131074"/>
    <mergeCell ref="GEC131074:GEH131074"/>
    <mergeCell ref="GNY131074:GOD131074"/>
    <mergeCell ref="GXU131074:GXZ131074"/>
    <mergeCell ref="HHQ131074:HHV131074"/>
    <mergeCell ref="HRM131074:HRR131074"/>
    <mergeCell ref="IBI131074:IBN131074"/>
    <mergeCell ref="ILE131074:ILJ131074"/>
    <mergeCell ref="IVA131074:IVF131074"/>
    <mergeCell ref="JEW131074:JFB131074"/>
    <mergeCell ref="JOS131074:JOX131074"/>
    <mergeCell ref="JYO131074:JYT131074"/>
    <mergeCell ref="KIK131074:KIP131074"/>
    <mergeCell ref="KSG131074:KSL131074"/>
    <mergeCell ref="LCC131074:LCH131074"/>
    <mergeCell ref="LLY131074:LMD131074"/>
    <mergeCell ref="LVU131074:LVZ131074"/>
    <mergeCell ref="MFQ131074:MFV131074"/>
    <mergeCell ref="MPM131074:MPR131074"/>
    <mergeCell ref="MZI131074:MZN131074"/>
    <mergeCell ref="NJE131074:NJJ131074"/>
    <mergeCell ref="NTA131074:NTF131074"/>
    <mergeCell ref="OCW131074:ODB131074"/>
    <mergeCell ref="OMS131074:OMX131074"/>
    <mergeCell ref="OWO131074:OWT131074"/>
    <mergeCell ref="PGK131074:PGP131074"/>
    <mergeCell ref="PQG131074:PQL131074"/>
    <mergeCell ref="QAC131074:QAH131074"/>
    <mergeCell ref="QJY131074:QKD131074"/>
    <mergeCell ref="QTU131074:QTZ131074"/>
    <mergeCell ref="RDQ131074:RDV131074"/>
    <mergeCell ref="RNM131074:RNR131074"/>
    <mergeCell ref="RXI131074:RXN131074"/>
    <mergeCell ref="SHE131074:SHJ131074"/>
    <mergeCell ref="SRA131074:SRF131074"/>
    <mergeCell ref="TAW131074:TBB131074"/>
    <mergeCell ref="TKS131074:TKX131074"/>
    <mergeCell ref="TUO131074:TUT131074"/>
    <mergeCell ref="UEK131074:UEP131074"/>
    <mergeCell ref="UOG131074:UOL131074"/>
    <mergeCell ref="UYC131074:UYH131074"/>
    <mergeCell ref="VHY131074:VID131074"/>
    <mergeCell ref="VRU131074:VRZ131074"/>
    <mergeCell ref="WBQ131074:WBV131074"/>
    <mergeCell ref="WLM131074:WLR131074"/>
    <mergeCell ref="WVI131074:WVN131074"/>
    <mergeCell ref="A196610:F196610"/>
    <mergeCell ref="IW196610:JB196610"/>
    <mergeCell ref="SS196610:SX196610"/>
    <mergeCell ref="ACO196610:ACT196610"/>
    <mergeCell ref="AMK196610:AMP196610"/>
    <mergeCell ref="AWG196610:AWL196610"/>
    <mergeCell ref="BGC196610:BGH196610"/>
    <mergeCell ref="BPY196610:BQD196610"/>
    <mergeCell ref="BZU196610:BZZ196610"/>
    <mergeCell ref="CJQ196610:CJV196610"/>
    <mergeCell ref="CTM196610:CTR196610"/>
    <mergeCell ref="DDI196610:DDN196610"/>
    <mergeCell ref="DNE196610:DNJ196610"/>
    <mergeCell ref="DXA196610:DXF196610"/>
    <mergeCell ref="EGW196610:EHB196610"/>
    <mergeCell ref="EQS196610:EQX196610"/>
    <mergeCell ref="FAO196610:FAT196610"/>
    <mergeCell ref="FKK196610:FKP196610"/>
    <mergeCell ref="FUG196610:FUL196610"/>
    <mergeCell ref="GEC196610:GEH196610"/>
    <mergeCell ref="GNY196610:GOD196610"/>
    <mergeCell ref="GXU196610:GXZ196610"/>
    <mergeCell ref="HHQ196610:HHV196610"/>
    <mergeCell ref="HRM196610:HRR196610"/>
    <mergeCell ref="IBI196610:IBN196610"/>
    <mergeCell ref="ILE196610:ILJ196610"/>
    <mergeCell ref="IVA196610:IVF196610"/>
    <mergeCell ref="JEW196610:JFB196610"/>
    <mergeCell ref="JOS196610:JOX196610"/>
    <mergeCell ref="JYO196610:JYT196610"/>
    <mergeCell ref="KIK196610:KIP196610"/>
    <mergeCell ref="KSG196610:KSL196610"/>
    <mergeCell ref="LCC196610:LCH196610"/>
    <mergeCell ref="LLY196610:LMD196610"/>
    <mergeCell ref="LVU196610:LVZ196610"/>
    <mergeCell ref="MFQ196610:MFV196610"/>
    <mergeCell ref="MPM196610:MPR196610"/>
    <mergeCell ref="MZI196610:MZN196610"/>
    <mergeCell ref="NJE196610:NJJ196610"/>
    <mergeCell ref="NTA196610:NTF196610"/>
    <mergeCell ref="OCW196610:ODB196610"/>
    <mergeCell ref="OMS196610:OMX196610"/>
    <mergeCell ref="OWO196610:OWT196610"/>
    <mergeCell ref="PGK196610:PGP196610"/>
    <mergeCell ref="PQG196610:PQL196610"/>
    <mergeCell ref="QAC196610:QAH196610"/>
    <mergeCell ref="QJY196610:QKD196610"/>
    <mergeCell ref="QTU196610:QTZ196610"/>
    <mergeCell ref="RDQ196610:RDV196610"/>
    <mergeCell ref="RNM196610:RNR196610"/>
    <mergeCell ref="RXI196610:RXN196610"/>
    <mergeCell ref="SHE196610:SHJ196610"/>
    <mergeCell ref="SRA196610:SRF196610"/>
    <mergeCell ref="TAW196610:TBB196610"/>
    <mergeCell ref="TKS196610:TKX196610"/>
    <mergeCell ref="TUO196610:TUT196610"/>
    <mergeCell ref="UEK196610:UEP196610"/>
    <mergeCell ref="UOG196610:UOL196610"/>
    <mergeCell ref="UYC196610:UYH196610"/>
    <mergeCell ref="VHY196610:VID196610"/>
    <mergeCell ref="VRU196610:VRZ196610"/>
    <mergeCell ref="WBQ196610:WBV196610"/>
    <mergeCell ref="WLM196610:WLR196610"/>
    <mergeCell ref="WVI196610:WVN196610"/>
    <mergeCell ref="A262146:F262146"/>
    <mergeCell ref="IW262146:JB262146"/>
    <mergeCell ref="SS262146:SX262146"/>
    <mergeCell ref="ACO262146:ACT262146"/>
    <mergeCell ref="AMK262146:AMP262146"/>
    <mergeCell ref="AWG262146:AWL262146"/>
    <mergeCell ref="BGC262146:BGH262146"/>
    <mergeCell ref="BPY262146:BQD262146"/>
    <mergeCell ref="BZU262146:BZZ262146"/>
    <mergeCell ref="CJQ262146:CJV262146"/>
    <mergeCell ref="CTM262146:CTR262146"/>
    <mergeCell ref="DDI262146:DDN262146"/>
    <mergeCell ref="DNE262146:DNJ262146"/>
    <mergeCell ref="DXA262146:DXF262146"/>
    <mergeCell ref="EGW262146:EHB262146"/>
    <mergeCell ref="EQS262146:EQX262146"/>
    <mergeCell ref="FAO262146:FAT262146"/>
    <mergeCell ref="FKK262146:FKP262146"/>
    <mergeCell ref="FUG262146:FUL262146"/>
    <mergeCell ref="GEC262146:GEH262146"/>
    <mergeCell ref="GNY262146:GOD262146"/>
    <mergeCell ref="GXU262146:GXZ262146"/>
    <mergeCell ref="HHQ262146:HHV262146"/>
    <mergeCell ref="HRM262146:HRR262146"/>
    <mergeCell ref="IBI262146:IBN262146"/>
    <mergeCell ref="ILE262146:ILJ262146"/>
    <mergeCell ref="IVA262146:IVF262146"/>
    <mergeCell ref="JEW262146:JFB262146"/>
    <mergeCell ref="JOS262146:JOX262146"/>
    <mergeCell ref="JYO262146:JYT262146"/>
    <mergeCell ref="KIK262146:KIP262146"/>
    <mergeCell ref="KSG262146:KSL262146"/>
    <mergeCell ref="LCC262146:LCH262146"/>
    <mergeCell ref="LLY262146:LMD262146"/>
    <mergeCell ref="LVU262146:LVZ262146"/>
    <mergeCell ref="MFQ262146:MFV262146"/>
    <mergeCell ref="MPM262146:MPR262146"/>
    <mergeCell ref="MZI262146:MZN262146"/>
    <mergeCell ref="NJE262146:NJJ262146"/>
    <mergeCell ref="NTA262146:NTF262146"/>
    <mergeCell ref="OCW262146:ODB262146"/>
    <mergeCell ref="OMS262146:OMX262146"/>
    <mergeCell ref="OWO262146:OWT262146"/>
    <mergeCell ref="PGK262146:PGP262146"/>
    <mergeCell ref="PQG262146:PQL262146"/>
    <mergeCell ref="QAC262146:QAH262146"/>
    <mergeCell ref="QJY262146:QKD262146"/>
    <mergeCell ref="QTU262146:QTZ262146"/>
    <mergeCell ref="RDQ262146:RDV262146"/>
    <mergeCell ref="RNM262146:RNR262146"/>
    <mergeCell ref="RXI262146:RXN262146"/>
    <mergeCell ref="SHE262146:SHJ262146"/>
    <mergeCell ref="SRA262146:SRF262146"/>
    <mergeCell ref="TAW262146:TBB262146"/>
    <mergeCell ref="TKS262146:TKX262146"/>
    <mergeCell ref="TUO262146:TUT262146"/>
    <mergeCell ref="UEK262146:UEP262146"/>
    <mergeCell ref="UOG262146:UOL262146"/>
    <mergeCell ref="UYC262146:UYH262146"/>
    <mergeCell ref="VHY262146:VID262146"/>
    <mergeCell ref="VRU262146:VRZ262146"/>
    <mergeCell ref="WBQ262146:WBV262146"/>
    <mergeCell ref="WLM262146:WLR262146"/>
    <mergeCell ref="WVI262146:WVN262146"/>
    <mergeCell ref="A327682:F327682"/>
    <mergeCell ref="IW327682:JB327682"/>
    <mergeCell ref="SS327682:SX327682"/>
    <mergeCell ref="ACO327682:ACT327682"/>
    <mergeCell ref="AMK327682:AMP327682"/>
    <mergeCell ref="AWG327682:AWL327682"/>
    <mergeCell ref="BGC327682:BGH327682"/>
    <mergeCell ref="BPY327682:BQD327682"/>
    <mergeCell ref="BZU327682:BZZ327682"/>
    <mergeCell ref="CJQ327682:CJV327682"/>
    <mergeCell ref="CTM327682:CTR327682"/>
    <mergeCell ref="DDI327682:DDN327682"/>
    <mergeCell ref="DNE327682:DNJ327682"/>
    <mergeCell ref="DXA327682:DXF327682"/>
    <mergeCell ref="EGW327682:EHB327682"/>
    <mergeCell ref="EQS327682:EQX327682"/>
    <mergeCell ref="FAO327682:FAT327682"/>
    <mergeCell ref="FKK327682:FKP327682"/>
    <mergeCell ref="FUG327682:FUL327682"/>
    <mergeCell ref="GEC327682:GEH327682"/>
    <mergeCell ref="GNY327682:GOD327682"/>
    <mergeCell ref="GXU327682:GXZ327682"/>
    <mergeCell ref="HHQ327682:HHV327682"/>
    <mergeCell ref="HRM327682:HRR327682"/>
    <mergeCell ref="IBI327682:IBN327682"/>
    <mergeCell ref="ILE327682:ILJ327682"/>
    <mergeCell ref="IVA327682:IVF327682"/>
    <mergeCell ref="JEW327682:JFB327682"/>
    <mergeCell ref="JOS327682:JOX327682"/>
    <mergeCell ref="JYO327682:JYT327682"/>
    <mergeCell ref="KIK327682:KIP327682"/>
    <mergeCell ref="KSG327682:KSL327682"/>
    <mergeCell ref="LCC327682:LCH327682"/>
    <mergeCell ref="LLY327682:LMD327682"/>
    <mergeCell ref="LVU327682:LVZ327682"/>
    <mergeCell ref="MFQ327682:MFV327682"/>
    <mergeCell ref="MPM327682:MPR327682"/>
    <mergeCell ref="MZI327682:MZN327682"/>
    <mergeCell ref="NJE327682:NJJ327682"/>
    <mergeCell ref="NTA327682:NTF327682"/>
    <mergeCell ref="OCW327682:ODB327682"/>
    <mergeCell ref="OMS327682:OMX327682"/>
    <mergeCell ref="OWO327682:OWT327682"/>
    <mergeCell ref="PGK327682:PGP327682"/>
    <mergeCell ref="PQG327682:PQL327682"/>
    <mergeCell ref="QAC327682:QAH327682"/>
    <mergeCell ref="QJY327682:QKD327682"/>
    <mergeCell ref="QTU327682:QTZ327682"/>
    <mergeCell ref="RDQ327682:RDV327682"/>
    <mergeCell ref="RNM327682:RNR327682"/>
    <mergeCell ref="RXI327682:RXN327682"/>
    <mergeCell ref="SHE327682:SHJ327682"/>
    <mergeCell ref="SRA327682:SRF327682"/>
    <mergeCell ref="TAW327682:TBB327682"/>
    <mergeCell ref="TKS327682:TKX327682"/>
    <mergeCell ref="TUO327682:TUT327682"/>
    <mergeCell ref="UEK327682:UEP327682"/>
    <mergeCell ref="UOG327682:UOL327682"/>
    <mergeCell ref="UYC327682:UYH327682"/>
    <mergeCell ref="VHY327682:VID327682"/>
    <mergeCell ref="VRU327682:VRZ327682"/>
    <mergeCell ref="WBQ327682:WBV327682"/>
    <mergeCell ref="WLM327682:WLR327682"/>
    <mergeCell ref="WVI327682:WVN327682"/>
    <mergeCell ref="A393218:F393218"/>
    <mergeCell ref="IW393218:JB393218"/>
    <mergeCell ref="SS393218:SX393218"/>
    <mergeCell ref="ACO393218:ACT393218"/>
    <mergeCell ref="AMK393218:AMP393218"/>
    <mergeCell ref="AWG393218:AWL393218"/>
    <mergeCell ref="BGC393218:BGH393218"/>
    <mergeCell ref="BPY393218:BQD393218"/>
    <mergeCell ref="BZU393218:BZZ393218"/>
    <mergeCell ref="CJQ393218:CJV393218"/>
    <mergeCell ref="CTM393218:CTR393218"/>
    <mergeCell ref="DDI393218:DDN393218"/>
    <mergeCell ref="DNE393218:DNJ393218"/>
    <mergeCell ref="DXA393218:DXF393218"/>
    <mergeCell ref="EGW393218:EHB393218"/>
    <mergeCell ref="EQS393218:EQX393218"/>
    <mergeCell ref="FAO393218:FAT393218"/>
    <mergeCell ref="FKK393218:FKP393218"/>
    <mergeCell ref="FUG393218:FUL393218"/>
    <mergeCell ref="GEC393218:GEH393218"/>
    <mergeCell ref="GNY393218:GOD393218"/>
    <mergeCell ref="GXU393218:GXZ393218"/>
    <mergeCell ref="HHQ393218:HHV393218"/>
    <mergeCell ref="HRM393218:HRR393218"/>
    <mergeCell ref="IBI393218:IBN393218"/>
    <mergeCell ref="ILE393218:ILJ393218"/>
    <mergeCell ref="IVA393218:IVF393218"/>
    <mergeCell ref="JEW393218:JFB393218"/>
    <mergeCell ref="JOS393218:JOX393218"/>
    <mergeCell ref="JYO393218:JYT393218"/>
    <mergeCell ref="KIK393218:KIP393218"/>
    <mergeCell ref="KSG393218:KSL393218"/>
    <mergeCell ref="LCC393218:LCH393218"/>
    <mergeCell ref="LLY393218:LMD393218"/>
    <mergeCell ref="LVU393218:LVZ393218"/>
    <mergeCell ref="MFQ393218:MFV393218"/>
    <mergeCell ref="MPM393218:MPR393218"/>
    <mergeCell ref="MZI393218:MZN393218"/>
    <mergeCell ref="NJE393218:NJJ393218"/>
    <mergeCell ref="NTA393218:NTF393218"/>
    <mergeCell ref="OCW393218:ODB393218"/>
    <mergeCell ref="OMS393218:OMX393218"/>
    <mergeCell ref="OWO393218:OWT393218"/>
    <mergeCell ref="PGK393218:PGP393218"/>
    <mergeCell ref="PQG393218:PQL393218"/>
    <mergeCell ref="QAC393218:QAH393218"/>
    <mergeCell ref="QJY393218:QKD393218"/>
    <mergeCell ref="QTU393218:QTZ393218"/>
    <mergeCell ref="RDQ393218:RDV393218"/>
    <mergeCell ref="RNM393218:RNR393218"/>
    <mergeCell ref="RXI393218:RXN393218"/>
    <mergeCell ref="SHE393218:SHJ393218"/>
    <mergeCell ref="SRA393218:SRF393218"/>
    <mergeCell ref="TAW393218:TBB393218"/>
    <mergeCell ref="TKS393218:TKX393218"/>
    <mergeCell ref="TUO393218:TUT393218"/>
    <mergeCell ref="UEK393218:UEP393218"/>
    <mergeCell ref="UOG393218:UOL393218"/>
    <mergeCell ref="UYC393218:UYH393218"/>
    <mergeCell ref="VHY393218:VID393218"/>
    <mergeCell ref="VRU393218:VRZ393218"/>
    <mergeCell ref="WBQ393218:WBV393218"/>
    <mergeCell ref="WLM393218:WLR393218"/>
    <mergeCell ref="WVI393218:WVN393218"/>
    <mergeCell ref="A458754:F458754"/>
    <mergeCell ref="IW458754:JB458754"/>
    <mergeCell ref="SS458754:SX458754"/>
    <mergeCell ref="ACO458754:ACT458754"/>
    <mergeCell ref="AMK458754:AMP458754"/>
    <mergeCell ref="AWG458754:AWL458754"/>
    <mergeCell ref="BGC458754:BGH458754"/>
    <mergeCell ref="BPY458754:BQD458754"/>
    <mergeCell ref="BZU458754:BZZ458754"/>
    <mergeCell ref="CJQ458754:CJV458754"/>
    <mergeCell ref="CTM458754:CTR458754"/>
    <mergeCell ref="DDI458754:DDN458754"/>
    <mergeCell ref="DNE458754:DNJ458754"/>
    <mergeCell ref="DXA458754:DXF458754"/>
    <mergeCell ref="EGW458754:EHB458754"/>
    <mergeCell ref="EQS458754:EQX458754"/>
    <mergeCell ref="FAO458754:FAT458754"/>
    <mergeCell ref="FKK458754:FKP458754"/>
    <mergeCell ref="FUG458754:FUL458754"/>
    <mergeCell ref="GEC458754:GEH458754"/>
    <mergeCell ref="GNY458754:GOD458754"/>
    <mergeCell ref="GXU458754:GXZ458754"/>
    <mergeCell ref="HHQ458754:HHV458754"/>
    <mergeCell ref="HRM458754:HRR458754"/>
    <mergeCell ref="IBI458754:IBN458754"/>
    <mergeCell ref="ILE458754:ILJ458754"/>
    <mergeCell ref="IVA458754:IVF458754"/>
    <mergeCell ref="JEW458754:JFB458754"/>
    <mergeCell ref="JOS458754:JOX458754"/>
    <mergeCell ref="JYO458754:JYT458754"/>
    <mergeCell ref="KIK458754:KIP458754"/>
    <mergeCell ref="KSG458754:KSL458754"/>
    <mergeCell ref="LCC458754:LCH458754"/>
    <mergeCell ref="LLY458754:LMD458754"/>
    <mergeCell ref="LVU458754:LVZ458754"/>
    <mergeCell ref="MFQ458754:MFV458754"/>
    <mergeCell ref="MPM458754:MPR458754"/>
    <mergeCell ref="MZI458754:MZN458754"/>
    <mergeCell ref="NJE458754:NJJ458754"/>
    <mergeCell ref="NTA458754:NTF458754"/>
    <mergeCell ref="OCW458754:ODB458754"/>
    <mergeCell ref="OMS458754:OMX458754"/>
    <mergeCell ref="OWO458754:OWT458754"/>
    <mergeCell ref="PGK458754:PGP458754"/>
    <mergeCell ref="PQG458754:PQL458754"/>
    <mergeCell ref="QAC458754:QAH458754"/>
    <mergeCell ref="QJY458754:QKD458754"/>
    <mergeCell ref="QTU458754:QTZ458754"/>
    <mergeCell ref="RDQ458754:RDV458754"/>
    <mergeCell ref="RNM458754:RNR458754"/>
    <mergeCell ref="RXI458754:RXN458754"/>
    <mergeCell ref="SHE458754:SHJ458754"/>
    <mergeCell ref="SRA458754:SRF458754"/>
    <mergeCell ref="TAW458754:TBB458754"/>
    <mergeCell ref="TKS458754:TKX458754"/>
    <mergeCell ref="TUO458754:TUT458754"/>
    <mergeCell ref="UEK458754:UEP458754"/>
    <mergeCell ref="UOG458754:UOL458754"/>
    <mergeCell ref="UYC458754:UYH458754"/>
    <mergeCell ref="VHY458754:VID458754"/>
    <mergeCell ref="VRU458754:VRZ458754"/>
    <mergeCell ref="WBQ458754:WBV458754"/>
    <mergeCell ref="WLM458754:WLR458754"/>
    <mergeCell ref="WVI458754:WVN458754"/>
    <mergeCell ref="A524290:F524290"/>
    <mergeCell ref="IW524290:JB524290"/>
    <mergeCell ref="SS524290:SX524290"/>
    <mergeCell ref="ACO524290:ACT524290"/>
    <mergeCell ref="AMK524290:AMP524290"/>
    <mergeCell ref="AWG524290:AWL524290"/>
    <mergeCell ref="BGC524290:BGH524290"/>
    <mergeCell ref="BPY524290:BQD524290"/>
    <mergeCell ref="BZU524290:BZZ524290"/>
    <mergeCell ref="CJQ524290:CJV524290"/>
    <mergeCell ref="CTM524290:CTR524290"/>
    <mergeCell ref="DDI524290:DDN524290"/>
    <mergeCell ref="DNE524290:DNJ524290"/>
    <mergeCell ref="DXA524290:DXF524290"/>
    <mergeCell ref="EGW524290:EHB524290"/>
    <mergeCell ref="EQS524290:EQX524290"/>
    <mergeCell ref="FAO524290:FAT524290"/>
    <mergeCell ref="FKK524290:FKP524290"/>
    <mergeCell ref="FUG524290:FUL524290"/>
    <mergeCell ref="GEC524290:GEH524290"/>
    <mergeCell ref="GNY524290:GOD524290"/>
    <mergeCell ref="GXU524290:GXZ524290"/>
    <mergeCell ref="HHQ524290:HHV524290"/>
    <mergeCell ref="HRM524290:HRR524290"/>
    <mergeCell ref="IBI524290:IBN524290"/>
    <mergeCell ref="ILE524290:ILJ524290"/>
    <mergeCell ref="IVA524290:IVF524290"/>
    <mergeCell ref="JEW524290:JFB524290"/>
    <mergeCell ref="JOS524290:JOX524290"/>
    <mergeCell ref="JYO524290:JYT524290"/>
    <mergeCell ref="KIK524290:KIP524290"/>
    <mergeCell ref="KSG524290:KSL524290"/>
    <mergeCell ref="LCC524290:LCH524290"/>
    <mergeCell ref="LLY524290:LMD524290"/>
    <mergeCell ref="LVU524290:LVZ524290"/>
    <mergeCell ref="MFQ524290:MFV524290"/>
    <mergeCell ref="MPM524290:MPR524290"/>
    <mergeCell ref="MZI524290:MZN524290"/>
    <mergeCell ref="NJE524290:NJJ524290"/>
    <mergeCell ref="NTA524290:NTF524290"/>
    <mergeCell ref="OCW524290:ODB524290"/>
    <mergeCell ref="OMS524290:OMX524290"/>
    <mergeCell ref="OWO524290:OWT524290"/>
    <mergeCell ref="PGK524290:PGP524290"/>
    <mergeCell ref="PQG524290:PQL524290"/>
    <mergeCell ref="QAC524290:QAH524290"/>
    <mergeCell ref="QJY524290:QKD524290"/>
    <mergeCell ref="QTU524290:QTZ524290"/>
    <mergeCell ref="RDQ524290:RDV524290"/>
    <mergeCell ref="RNM524290:RNR524290"/>
    <mergeCell ref="RXI524290:RXN524290"/>
    <mergeCell ref="SHE524290:SHJ524290"/>
    <mergeCell ref="SRA524290:SRF524290"/>
    <mergeCell ref="TAW524290:TBB524290"/>
    <mergeCell ref="TKS524290:TKX524290"/>
    <mergeCell ref="TUO524290:TUT524290"/>
    <mergeCell ref="UEK524290:UEP524290"/>
    <mergeCell ref="UOG524290:UOL524290"/>
    <mergeCell ref="UYC524290:UYH524290"/>
    <mergeCell ref="VHY524290:VID524290"/>
    <mergeCell ref="VRU524290:VRZ524290"/>
    <mergeCell ref="WBQ524290:WBV524290"/>
    <mergeCell ref="WLM524290:WLR524290"/>
    <mergeCell ref="WVI524290:WVN524290"/>
    <mergeCell ref="A589826:F589826"/>
    <mergeCell ref="IW589826:JB589826"/>
    <mergeCell ref="SS589826:SX589826"/>
    <mergeCell ref="ACO589826:ACT589826"/>
    <mergeCell ref="AMK589826:AMP589826"/>
    <mergeCell ref="AWG589826:AWL589826"/>
    <mergeCell ref="BGC589826:BGH589826"/>
    <mergeCell ref="BPY589826:BQD589826"/>
    <mergeCell ref="BZU589826:BZZ589826"/>
    <mergeCell ref="CJQ589826:CJV589826"/>
    <mergeCell ref="CTM589826:CTR589826"/>
    <mergeCell ref="DDI589826:DDN589826"/>
    <mergeCell ref="DNE589826:DNJ589826"/>
    <mergeCell ref="DXA589826:DXF589826"/>
    <mergeCell ref="EGW589826:EHB589826"/>
    <mergeCell ref="EQS589826:EQX589826"/>
    <mergeCell ref="FAO589826:FAT589826"/>
    <mergeCell ref="FKK589826:FKP589826"/>
    <mergeCell ref="FUG589826:FUL589826"/>
    <mergeCell ref="GEC589826:GEH589826"/>
    <mergeCell ref="GNY589826:GOD589826"/>
    <mergeCell ref="GXU589826:GXZ589826"/>
    <mergeCell ref="HHQ589826:HHV589826"/>
    <mergeCell ref="HRM589826:HRR589826"/>
    <mergeCell ref="IBI589826:IBN589826"/>
    <mergeCell ref="ILE589826:ILJ589826"/>
    <mergeCell ref="IVA589826:IVF589826"/>
    <mergeCell ref="JEW589826:JFB589826"/>
    <mergeCell ref="JOS589826:JOX589826"/>
    <mergeCell ref="JYO589826:JYT589826"/>
    <mergeCell ref="KIK589826:KIP589826"/>
    <mergeCell ref="KSG589826:KSL589826"/>
    <mergeCell ref="LCC589826:LCH589826"/>
    <mergeCell ref="LLY589826:LMD589826"/>
    <mergeCell ref="LVU589826:LVZ589826"/>
    <mergeCell ref="MFQ589826:MFV589826"/>
    <mergeCell ref="MPM589826:MPR589826"/>
    <mergeCell ref="MZI589826:MZN589826"/>
    <mergeCell ref="NJE589826:NJJ589826"/>
    <mergeCell ref="NTA589826:NTF589826"/>
    <mergeCell ref="OCW589826:ODB589826"/>
    <mergeCell ref="OMS589826:OMX589826"/>
    <mergeCell ref="OWO589826:OWT589826"/>
    <mergeCell ref="PGK589826:PGP589826"/>
    <mergeCell ref="PQG589826:PQL589826"/>
    <mergeCell ref="QAC589826:QAH589826"/>
    <mergeCell ref="QJY589826:QKD589826"/>
    <mergeCell ref="QTU589826:QTZ589826"/>
    <mergeCell ref="RDQ589826:RDV589826"/>
    <mergeCell ref="RNM589826:RNR589826"/>
    <mergeCell ref="RXI589826:RXN589826"/>
    <mergeCell ref="SHE589826:SHJ589826"/>
    <mergeCell ref="SRA589826:SRF589826"/>
    <mergeCell ref="TAW589826:TBB589826"/>
    <mergeCell ref="TKS589826:TKX589826"/>
    <mergeCell ref="TUO589826:TUT589826"/>
    <mergeCell ref="UEK589826:UEP589826"/>
    <mergeCell ref="UOG589826:UOL589826"/>
    <mergeCell ref="UYC589826:UYH589826"/>
    <mergeCell ref="VHY589826:VID589826"/>
    <mergeCell ref="VRU589826:VRZ589826"/>
    <mergeCell ref="WBQ589826:WBV589826"/>
    <mergeCell ref="WLM589826:WLR589826"/>
    <mergeCell ref="WVI589826:WVN589826"/>
    <mergeCell ref="A655362:F655362"/>
    <mergeCell ref="IW655362:JB655362"/>
    <mergeCell ref="SS655362:SX655362"/>
    <mergeCell ref="ACO655362:ACT655362"/>
    <mergeCell ref="AMK655362:AMP655362"/>
    <mergeCell ref="AWG655362:AWL655362"/>
    <mergeCell ref="BGC655362:BGH655362"/>
    <mergeCell ref="BPY655362:BQD655362"/>
    <mergeCell ref="BZU655362:BZZ655362"/>
    <mergeCell ref="CJQ655362:CJV655362"/>
    <mergeCell ref="CTM655362:CTR655362"/>
    <mergeCell ref="DDI655362:DDN655362"/>
    <mergeCell ref="DNE655362:DNJ655362"/>
    <mergeCell ref="DXA655362:DXF655362"/>
    <mergeCell ref="EGW655362:EHB655362"/>
    <mergeCell ref="EQS655362:EQX655362"/>
    <mergeCell ref="FAO655362:FAT655362"/>
    <mergeCell ref="FKK655362:FKP655362"/>
    <mergeCell ref="FUG655362:FUL655362"/>
    <mergeCell ref="GEC655362:GEH655362"/>
    <mergeCell ref="GNY655362:GOD655362"/>
    <mergeCell ref="GXU655362:GXZ655362"/>
    <mergeCell ref="HHQ655362:HHV655362"/>
    <mergeCell ref="HRM655362:HRR655362"/>
    <mergeCell ref="IBI655362:IBN655362"/>
    <mergeCell ref="ILE655362:ILJ655362"/>
    <mergeCell ref="IVA655362:IVF655362"/>
    <mergeCell ref="JEW655362:JFB655362"/>
    <mergeCell ref="JOS655362:JOX655362"/>
    <mergeCell ref="JYO655362:JYT655362"/>
    <mergeCell ref="KIK655362:KIP655362"/>
    <mergeCell ref="KSG655362:KSL655362"/>
    <mergeCell ref="LCC655362:LCH655362"/>
    <mergeCell ref="LLY655362:LMD655362"/>
    <mergeCell ref="LVU655362:LVZ655362"/>
    <mergeCell ref="MFQ655362:MFV655362"/>
    <mergeCell ref="MPM655362:MPR655362"/>
    <mergeCell ref="MZI655362:MZN655362"/>
    <mergeCell ref="NJE655362:NJJ655362"/>
    <mergeCell ref="NTA655362:NTF655362"/>
    <mergeCell ref="OCW655362:ODB655362"/>
    <mergeCell ref="OMS655362:OMX655362"/>
    <mergeCell ref="OWO655362:OWT655362"/>
    <mergeCell ref="PGK655362:PGP655362"/>
    <mergeCell ref="PQG655362:PQL655362"/>
    <mergeCell ref="QAC655362:QAH655362"/>
    <mergeCell ref="QJY655362:QKD655362"/>
    <mergeCell ref="QTU655362:QTZ655362"/>
    <mergeCell ref="RDQ655362:RDV655362"/>
    <mergeCell ref="RNM655362:RNR655362"/>
    <mergeCell ref="RXI655362:RXN655362"/>
    <mergeCell ref="SHE655362:SHJ655362"/>
    <mergeCell ref="SRA655362:SRF655362"/>
    <mergeCell ref="TAW655362:TBB655362"/>
    <mergeCell ref="TKS655362:TKX655362"/>
    <mergeCell ref="TUO655362:TUT655362"/>
    <mergeCell ref="UEK655362:UEP655362"/>
    <mergeCell ref="UOG655362:UOL655362"/>
    <mergeCell ref="UYC655362:UYH655362"/>
    <mergeCell ref="VHY655362:VID655362"/>
    <mergeCell ref="VRU655362:VRZ655362"/>
    <mergeCell ref="WBQ655362:WBV655362"/>
    <mergeCell ref="WLM655362:WLR655362"/>
    <mergeCell ref="WVI655362:WVN655362"/>
    <mergeCell ref="A720898:F720898"/>
    <mergeCell ref="IW720898:JB720898"/>
    <mergeCell ref="SS720898:SX720898"/>
    <mergeCell ref="ACO720898:ACT720898"/>
    <mergeCell ref="AMK720898:AMP720898"/>
    <mergeCell ref="AWG720898:AWL720898"/>
    <mergeCell ref="BGC720898:BGH720898"/>
    <mergeCell ref="BPY720898:BQD720898"/>
    <mergeCell ref="BZU720898:BZZ720898"/>
    <mergeCell ref="CJQ720898:CJV720898"/>
    <mergeCell ref="CTM720898:CTR720898"/>
    <mergeCell ref="DDI720898:DDN720898"/>
    <mergeCell ref="DNE720898:DNJ720898"/>
    <mergeCell ref="DXA720898:DXF720898"/>
    <mergeCell ref="EGW720898:EHB720898"/>
    <mergeCell ref="EQS720898:EQX720898"/>
    <mergeCell ref="FAO720898:FAT720898"/>
    <mergeCell ref="FKK720898:FKP720898"/>
    <mergeCell ref="FUG720898:FUL720898"/>
    <mergeCell ref="GEC720898:GEH720898"/>
    <mergeCell ref="GNY720898:GOD720898"/>
    <mergeCell ref="GXU720898:GXZ720898"/>
    <mergeCell ref="HHQ720898:HHV720898"/>
    <mergeCell ref="HRM720898:HRR720898"/>
    <mergeCell ref="IBI720898:IBN720898"/>
    <mergeCell ref="ILE720898:ILJ720898"/>
    <mergeCell ref="IVA720898:IVF720898"/>
    <mergeCell ref="JEW720898:JFB720898"/>
    <mergeCell ref="JOS720898:JOX720898"/>
    <mergeCell ref="JYO720898:JYT720898"/>
    <mergeCell ref="KIK720898:KIP720898"/>
    <mergeCell ref="KSG720898:KSL720898"/>
    <mergeCell ref="LCC720898:LCH720898"/>
    <mergeCell ref="LLY720898:LMD720898"/>
    <mergeCell ref="LVU720898:LVZ720898"/>
    <mergeCell ref="MFQ720898:MFV720898"/>
    <mergeCell ref="MPM720898:MPR720898"/>
    <mergeCell ref="MZI720898:MZN720898"/>
    <mergeCell ref="NJE720898:NJJ720898"/>
    <mergeCell ref="NTA720898:NTF720898"/>
    <mergeCell ref="OCW720898:ODB720898"/>
    <mergeCell ref="OMS720898:OMX720898"/>
    <mergeCell ref="OWO720898:OWT720898"/>
    <mergeCell ref="PGK720898:PGP720898"/>
    <mergeCell ref="PQG720898:PQL720898"/>
    <mergeCell ref="QAC720898:QAH720898"/>
    <mergeCell ref="QJY720898:QKD720898"/>
    <mergeCell ref="QTU720898:QTZ720898"/>
    <mergeCell ref="RDQ720898:RDV720898"/>
    <mergeCell ref="RNM720898:RNR720898"/>
    <mergeCell ref="RXI720898:RXN720898"/>
    <mergeCell ref="SHE720898:SHJ720898"/>
    <mergeCell ref="SRA720898:SRF720898"/>
    <mergeCell ref="TAW720898:TBB720898"/>
    <mergeCell ref="TKS720898:TKX720898"/>
    <mergeCell ref="TUO720898:TUT720898"/>
    <mergeCell ref="UEK720898:UEP720898"/>
    <mergeCell ref="UOG720898:UOL720898"/>
    <mergeCell ref="UYC720898:UYH720898"/>
    <mergeCell ref="VHY720898:VID720898"/>
    <mergeCell ref="VRU720898:VRZ720898"/>
    <mergeCell ref="WBQ720898:WBV720898"/>
    <mergeCell ref="WLM720898:WLR720898"/>
    <mergeCell ref="WVI720898:WVN720898"/>
    <mergeCell ref="A786434:F786434"/>
    <mergeCell ref="IW786434:JB786434"/>
    <mergeCell ref="SS786434:SX786434"/>
    <mergeCell ref="ACO786434:ACT786434"/>
    <mergeCell ref="AMK786434:AMP786434"/>
    <mergeCell ref="AWG786434:AWL786434"/>
    <mergeCell ref="BGC786434:BGH786434"/>
    <mergeCell ref="BPY786434:BQD786434"/>
    <mergeCell ref="BZU786434:BZZ786434"/>
    <mergeCell ref="CJQ786434:CJV786434"/>
    <mergeCell ref="CTM786434:CTR786434"/>
    <mergeCell ref="DDI786434:DDN786434"/>
    <mergeCell ref="DNE786434:DNJ786434"/>
    <mergeCell ref="DXA786434:DXF786434"/>
    <mergeCell ref="EGW786434:EHB786434"/>
    <mergeCell ref="EQS786434:EQX786434"/>
    <mergeCell ref="FAO786434:FAT786434"/>
    <mergeCell ref="FKK786434:FKP786434"/>
    <mergeCell ref="FUG786434:FUL786434"/>
    <mergeCell ref="GEC786434:GEH786434"/>
    <mergeCell ref="GNY786434:GOD786434"/>
    <mergeCell ref="GXU786434:GXZ786434"/>
    <mergeCell ref="HHQ786434:HHV786434"/>
    <mergeCell ref="HRM786434:HRR786434"/>
    <mergeCell ref="IBI786434:IBN786434"/>
    <mergeCell ref="ILE786434:ILJ786434"/>
    <mergeCell ref="IVA786434:IVF786434"/>
    <mergeCell ref="JEW786434:JFB786434"/>
    <mergeCell ref="JOS786434:JOX786434"/>
    <mergeCell ref="JYO786434:JYT786434"/>
    <mergeCell ref="KIK786434:KIP786434"/>
    <mergeCell ref="KSG786434:KSL786434"/>
    <mergeCell ref="LCC786434:LCH786434"/>
    <mergeCell ref="LLY786434:LMD786434"/>
    <mergeCell ref="LVU786434:LVZ786434"/>
    <mergeCell ref="MFQ786434:MFV786434"/>
    <mergeCell ref="MPM786434:MPR786434"/>
    <mergeCell ref="MZI786434:MZN786434"/>
    <mergeCell ref="NJE786434:NJJ786434"/>
    <mergeCell ref="NTA786434:NTF786434"/>
    <mergeCell ref="OCW786434:ODB786434"/>
    <mergeCell ref="OMS786434:OMX786434"/>
    <mergeCell ref="OWO786434:OWT786434"/>
    <mergeCell ref="PGK786434:PGP786434"/>
    <mergeCell ref="PQG786434:PQL786434"/>
    <mergeCell ref="QAC786434:QAH786434"/>
    <mergeCell ref="QJY786434:QKD786434"/>
    <mergeCell ref="QTU786434:QTZ786434"/>
    <mergeCell ref="RDQ786434:RDV786434"/>
    <mergeCell ref="RNM786434:RNR786434"/>
    <mergeCell ref="RXI786434:RXN786434"/>
    <mergeCell ref="SHE786434:SHJ786434"/>
    <mergeCell ref="SRA786434:SRF786434"/>
    <mergeCell ref="TAW786434:TBB786434"/>
    <mergeCell ref="TKS786434:TKX786434"/>
    <mergeCell ref="TUO786434:TUT786434"/>
    <mergeCell ref="UEK786434:UEP786434"/>
    <mergeCell ref="UOG786434:UOL786434"/>
    <mergeCell ref="UYC786434:UYH786434"/>
    <mergeCell ref="VHY786434:VID786434"/>
    <mergeCell ref="VRU786434:VRZ786434"/>
    <mergeCell ref="WBQ786434:WBV786434"/>
    <mergeCell ref="WLM786434:WLR786434"/>
    <mergeCell ref="WVI786434:WVN786434"/>
    <mergeCell ref="A851970:F851970"/>
    <mergeCell ref="IW851970:JB851970"/>
    <mergeCell ref="SS851970:SX851970"/>
    <mergeCell ref="ACO851970:ACT851970"/>
    <mergeCell ref="AMK851970:AMP851970"/>
    <mergeCell ref="AWG851970:AWL851970"/>
    <mergeCell ref="BGC851970:BGH851970"/>
    <mergeCell ref="BPY851970:BQD851970"/>
    <mergeCell ref="BZU851970:BZZ851970"/>
    <mergeCell ref="CJQ851970:CJV851970"/>
    <mergeCell ref="CTM851970:CTR851970"/>
    <mergeCell ref="DDI851970:DDN851970"/>
    <mergeCell ref="DNE851970:DNJ851970"/>
    <mergeCell ref="DXA851970:DXF851970"/>
    <mergeCell ref="EGW851970:EHB851970"/>
    <mergeCell ref="EQS851970:EQX851970"/>
    <mergeCell ref="FAO851970:FAT851970"/>
    <mergeCell ref="FKK851970:FKP851970"/>
    <mergeCell ref="FUG851970:FUL851970"/>
    <mergeCell ref="GEC851970:GEH851970"/>
    <mergeCell ref="GNY851970:GOD851970"/>
    <mergeCell ref="GXU851970:GXZ851970"/>
    <mergeCell ref="HHQ851970:HHV851970"/>
    <mergeCell ref="HRM851970:HRR851970"/>
    <mergeCell ref="IBI851970:IBN851970"/>
    <mergeCell ref="ILE851970:ILJ851970"/>
    <mergeCell ref="IVA851970:IVF851970"/>
    <mergeCell ref="JEW851970:JFB851970"/>
    <mergeCell ref="JOS851970:JOX851970"/>
    <mergeCell ref="JYO851970:JYT851970"/>
    <mergeCell ref="KIK851970:KIP851970"/>
    <mergeCell ref="KSG851970:KSL851970"/>
    <mergeCell ref="LCC851970:LCH851970"/>
    <mergeCell ref="LLY851970:LMD851970"/>
    <mergeCell ref="LVU851970:LVZ851970"/>
    <mergeCell ref="MFQ851970:MFV851970"/>
    <mergeCell ref="MPM851970:MPR851970"/>
    <mergeCell ref="MZI851970:MZN851970"/>
    <mergeCell ref="NJE851970:NJJ851970"/>
    <mergeCell ref="NTA851970:NTF851970"/>
    <mergeCell ref="OCW851970:ODB851970"/>
    <mergeCell ref="OMS851970:OMX851970"/>
    <mergeCell ref="OWO851970:OWT851970"/>
    <mergeCell ref="PGK851970:PGP851970"/>
    <mergeCell ref="PQG851970:PQL851970"/>
    <mergeCell ref="QAC851970:QAH851970"/>
    <mergeCell ref="QJY851970:QKD851970"/>
    <mergeCell ref="QTU851970:QTZ851970"/>
    <mergeCell ref="RDQ851970:RDV851970"/>
    <mergeCell ref="RNM851970:RNR851970"/>
    <mergeCell ref="RXI851970:RXN851970"/>
    <mergeCell ref="SHE851970:SHJ851970"/>
    <mergeCell ref="SRA851970:SRF851970"/>
    <mergeCell ref="TAW851970:TBB851970"/>
    <mergeCell ref="TKS851970:TKX851970"/>
    <mergeCell ref="TUO851970:TUT851970"/>
    <mergeCell ref="UEK851970:UEP851970"/>
    <mergeCell ref="UOG851970:UOL851970"/>
    <mergeCell ref="UYC851970:UYH851970"/>
    <mergeCell ref="VHY851970:VID851970"/>
    <mergeCell ref="VRU851970:VRZ851970"/>
    <mergeCell ref="WBQ851970:WBV851970"/>
    <mergeCell ref="WLM851970:WLR851970"/>
    <mergeCell ref="WVI851970:WVN851970"/>
    <mergeCell ref="A917506:F917506"/>
    <mergeCell ref="IW917506:JB917506"/>
    <mergeCell ref="SS917506:SX917506"/>
    <mergeCell ref="ACO917506:ACT917506"/>
    <mergeCell ref="AMK917506:AMP917506"/>
    <mergeCell ref="AWG917506:AWL917506"/>
    <mergeCell ref="BGC917506:BGH917506"/>
    <mergeCell ref="BPY917506:BQD917506"/>
    <mergeCell ref="BZU917506:BZZ917506"/>
    <mergeCell ref="CJQ917506:CJV917506"/>
    <mergeCell ref="CTM917506:CTR917506"/>
    <mergeCell ref="DDI917506:DDN917506"/>
    <mergeCell ref="DNE917506:DNJ917506"/>
    <mergeCell ref="DXA917506:DXF917506"/>
    <mergeCell ref="EGW917506:EHB917506"/>
    <mergeCell ref="EQS917506:EQX917506"/>
    <mergeCell ref="FAO917506:FAT917506"/>
    <mergeCell ref="FKK917506:FKP917506"/>
    <mergeCell ref="FUG917506:FUL917506"/>
    <mergeCell ref="GEC917506:GEH917506"/>
    <mergeCell ref="GNY917506:GOD917506"/>
    <mergeCell ref="GXU917506:GXZ917506"/>
    <mergeCell ref="HHQ917506:HHV917506"/>
    <mergeCell ref="HRM917506:HRR917506"/>
    <mergeCell ref="IBI917506:IBN917506"/>
    <mergeCell ref="ILE917506:ILJ917506"/>
    <mergeCell ref="IVA917506:IVF917506"/>
    <mergeCell ref="JEW917506:JFB917506"/>
    <mergeCell ref="JOS917506:JOX917506"/>
    <mergeCell ref="JYO917506:JYT917506"/>
    <mergeCell ref="KIK917506:KIP917506"/>
    <mergeCell ref="KSG917506:KSL917506"/>
    <mergeCell ref="LCC917506:LCH917506"/>
    <mergeCell ref="LLY917506:LMD917506"/>
    <mergeCell ref="LVU917506:LVZ917506"/>
    <mergeCell ref="MFQ917506:MFV917506"/>
    <mergeCell ref="MPM917506:MPR917506"/>
    <mergeCell ref="MZI917506:MZN917506"/>
    <mergeCell ref="NJE917506:NJJ917506"/>
    <mergeCell ref="NTA917506:NTF917506"/>
    <mergeCell ref="OCW917506:ODB917506"/>
    <mergeCell ref="OMS917506:OMX917506"/>
    <mergeCell ref="OWO917506:OWT917506"/>
    <mergeCell ref="PGK917506:PGP917506"/>
    <mergeCell ref="PQG917506:PQL917506"/>
    <mergeCell ref="QAC917506:QAH917506"/>
    <mergeCell ref="QJY917506:QKD917506"/>
    <mergeCell ref="QTU917506:QTZ917506"/>
    <mergeCell ref="RDQ917506:RDV917506"/>
    <mergeCell ref="RNM917506:RNR917506"/>
    <mergeCell ref="RXI917506:RXN917506"/>
    <mergeCell ref="SHE917506:SHJ917506"/>
    <mergeCell ref="SRA917506:SRF917506"/>
    <mergeCell ref="TAW917506:TBB917506"/>
    <mergeCell ref="TKS917506:TKX917506"/>
    <mergeCell ref="TUO917506:TUT917506"/>
    <mergeCell ref="UEK917506:UEP917506"/>
    <mergeCell ref="UOG917506:UOL917506"/>
    <mergeCell ref="UYC917506:UYH917506"/>
    <mergeCell ref="VHY917506:VID917506"/>
    <mergeCell ref="VRU917506:VRZ917506"/>
    <mergeCell ref="WBQ917506:WBV917506"/>
    <mergeCell ref="WLM917506:WLR917506"/>
    <mergeCell ref="WVI917506:WVN917506"/>
    <mergeCell ref="A983042:F983042"/>
    <mergeCell ref="IW983042:JB983042"/>
    <mergeCell ref="SS983042:SX983042"/>
    <mergeCell ref="ACO983042:ACT983042"/>
    <mergeCell ref="AMK983042:AMP983042"/>
    <mergeCell ref="AWG983042:AWL983042"/>
    <mergeCell ref="BGC983042:BGH983042"/>
    <mergeCell ref="BPY983042:BQD983042"/>
    <mergeCell ref="BZU983042:BZZ983042"/>
    <mergeCell ref="CJQ983042:CJV983042"/>
    <mergeCell ref="CTM983042:CTR983042"/>
    <mergeCell ref="DDI983042:DDN983042"/>
    <mergeCell ref="DNE983042:DNJ983042"/>
    <mergeCell ref="DXA983042:DXF983042"/>
    <mergeCell ref="EGW983042:EHB983042"/>
    <mergeCell ref="EQS983042:EQX983042"/>
    <mergeCell ref="FAO983042:FAT983042"/>
    <mergeCell ref="FKK983042:FKP983042"/>
    <mergeCell ref="FUG983042:FUL983042"/>
    <mergeCell ref="GEC983042:GEH983042"/>
    <mergeCell ref="GNY983042:GOD983042"/>
    <mergeCell ref="GXU983042:GXZ983042"/>
    <mergeCell ref="HHQ983042:HHV983042"/>
    <mergeCell ref="HRM983042:HRR983042"/>
    <mergeCell ref="IBI983042:IBN983042"/>
    <mergeCell ref="ILE983042:ILJ983042"/>
    <mergeCell ref="IVA983042:IVF983042"/>
    <mergeCell ref="JEW983042:JFB983042"/>
    <mergeCell ref="JOS983042:JOX983042"/>
    <mergeCell ref="JYO983042:JYT983042"/>
    <mergeCell ref="KIK983042:KIP983042"/>
    <mergeCell ref="KSG983042:KSL983042"/>
    <mergeCell ref="LCC983042:LCH983042"/>
    <mergeCell ref="LLY983042:LMD983042"/>
    <mergeCell ref="LVU983042:LVZ983042"/>
    <mergeCell ref="MFQ983042:MFV983042"/>
    <mergeCell ref="MPM983042:MPR983042"/>
    <mergeCell ref="MZI983042:MZN983042"/>
    <mergeCell ref="NJE983042:NJJ983042"/>
    <mergeCell ref="NTA983042:NTF983042"/>
    <mergeCell ref="OCW983042:ODB983042"/>
    <mergeCell ref="OMS983042:OMX983042"/>
    <mergeCell ref="OWO983042:OWT983042"/>
    <mergeCell ref="PGK983042:PGP983042"/>
    <mergeCell ref="PQG983042:PQL983042"/>
    <mergeCell ref="QAC983042:QAH983042"/>
    <mergeCell ref="QJY983042:QKD983042"/>
    <mergeCell ref="QTU983042:QTZ983042"/>
    <mergeCell ref="RDQ983042:RDV983042"/>
    <mergeCell ref="RNM983042:RNR983042"/>
    <mergeCell ref="RXI983042:RXN983042"/>
    <mergeCell ref="SHE983042:SHJ983042"/>
    <mergeCell ref="SRA983042:SRF983042"/>
    <mergeCell ref="TAW983042:TBB983042"/>
    <mergeCell ref="TKS983042:TKX983042"/>
    <mergeCell ref="TUO983042:TUT983042"/>
    <mergeCell ref="UEK983042:UEP983042"/>
    <mergeCell ref="UOG983042:UOL983042"/>
    <mergeCell ref="UYC983042:UYH983042"/>
    <mergeCell ref="VHY983042:VID983042"/>
    <mergeCell ref="VRU983042:VRZ983042"/>
    <mergeCell ref="WBQ983042:WBV983042"/>
    <mergeCell ref="WLM983042:WLR983042"/>
    <mergeCell ref="WVI983042:WVN983042"/>
  </mergeCells>
  <printOptions horizontalCentered="1"/>
  <pageMargins left="0.393055555555556" right="0.393055555555556" top="0.865277777777778" bottom="0.393055555555556" header="0.707638888888889" footer="0.511805555555556"/>
  <pageSetup paperSize="9" firstPageNumber="69" orientation="landscape" useFirstPageNumber="1" errors="blank" horizontalDpi="600"/>
  <headerFooter>
    <oddFooter>&amp;C&amp;"Times New Roman"&amp;14—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N983041"/>
  <sheetViews>
    <sheetView showGridLines="0" showZeros="0" workbookViewId="0">
      <pane topLeftCell="B5" activePane="bottomRight" state="frozen"/>
      <selection activeCell="D16" sqref="D16"/>
    </sheetView>
  </sheetViews>
  <sheetFormatPr defaultColWidth="9.13888888888889" defaultRowHeight="14.25" customHeight="1"/>
  <cols>
    <col min="1" max="1" width="25.5555555555556" style="131" customWidth="1"/>
    <col min="2" max="3" width="16.8888888888889" style="155" customWidth="1"/>
    <col min="4" max="4" width="21.8888888888889" style="156" customWidth="1"/>
    <col min="5" max="6" width="16.7777777777778" style="155" customWidth="1"/>
    <col min="7" max="16384" width="9.13888888888889" style="131"/>
  </cols>
  <sheetData>
    <row r="1" customHeight="1" spans="1:1">
      <c r="A1" s="3" t="s">
        <v>707</v>
      </c>
    </row>
    <row r="2" s="131" customFormat="1" ht="37.5" customHeight="1" spans="1:6">
      <c r="A2" s="133" t="s">
        <v>708</v>
      </c>
      <c r="B2" s="133"/>
      <c r="C2" s="133"/>
      <c r="D2" s="157"/>
      <c r="E2" s="133"/>
      <c r="F2" s="133"/>
    </row>
    <row r="3" s="131" customFormat="1" ht="15.75" customHeight="1" spans="1:6">
      <c r="A3" s="158"/>
      <c r="B3" s="159"/>
      <c r="C3" s="159"/>
      <c r="D3" s="160"/>
      <c r="E3" s="159"/>
      <c r="F3" s="159" t="s">
        <v>113</v>
      </c>
    </row>
    <row r="4" s="132" customFormat="1" ht="24" customHeight="1" spans="1:6">
      <c r="A4" s="161" t="s">
        <v>647</v>
      </c>
      <c r="B4" s="162" t="s">
        <v>678</v>
      </c>
      <c r="C4" s="162" t="s">
        <v>679</v>
      </c>
      <c r="D4" s="161" t="s">
        <v>647</v>
      </c>
      <c r="E4" s="162" t="s">
        <v>678</v>
      </c>
      <c r="F4" s="162" t="s">
        <v>679</v>
      </c>
    </row>
    <row r="5" s="131" customFormat="1" ht="24" customHeight="1" spans="1:6">
      <c r="A5" s="163" t="s">
        <v>709</v>
      </c>
      <c r="B5" s="141">
        <v>57124430.12</v>
      </c>
      <c r="C5" s="141">
        <v>60994531.17</v>
      </c>
      <c r="D5" s="163" t="s">
        <v>710</v>
      </c>
      <c r="E5" s="164">
        <v>120363210.82</v>
      </c>
      <c r="F5" s="164">
        <v>159995221</v>
      </c>
    </row>
    <row r="6" s="131" customFormat="1" ht="24" customHeight="1" spans="1:6">
      <c r="A6" s="165" t="s">
        <v>684</v>
      </c>
      <c r="B6" s="166">
        <v>55290054.46</v>
      </c>
      <c r="C6" s="166">
        <v>98200689.83</v>
      </c>
      <c r="D6" s="165" t="s">
        <v>711</v>
      </c>
      <c r="E6" s="167">
        <v>150000</v>
      </c>
      <c r="F6" s="167">
        <v>150000</v>
      </c>
    </row>
    <row r="7" s="131" customFormat="1" ht="24" customHeight="1" spans="1:6">
      <c r="A7" s="165" t="s">
        <v>712</v>
      </c>
      <c r="B7" s="166">
        <v>45840054.46</v>
      </c>
      <c r="C7" s="166">
        <v>88750689.83</v>
      </c>
      <c r="D7" s="165" t="s">
        <v>713</v>
      </c>
      <c r="E7" s="167">
        <v>0</v>
      </c>
      <c r="F7" s="167">
        <v>0</v>
      </c>
    </row>
    <row r="8" s="131" customFormat="1" ht="24" customHeight="1" spans="1:6">
      <c r="A8" s="165" t="s">
        <v>714</v>
      </c>
      <c r="B8" s="166">
        <v>400000</v>
      </c>
      <c r="C8" s="166">
        <v>450000</v>
      </c>
      <c r="D8" s="165"/>
      <c r="E8" s="167"/>
      <c r="F8" s="167"/>
    </row>
    <row r="9" s="131" customFormat="1" ht="24" customHeight="1" spans="1:6">
      <c r="A9" s="165" t="s">
        <v>715</v>
      </c>
      <c r="B9" s="166">
        <v>7500000</v>
      </c>
      <c r="C9" s="166">
        <v>500000</v>
      </c>
      <c r="D9" s="165"/>
      <c r="E9" s="167"/>
      <c r="F9" s="167"/>
    </row>
    <row r="10" s="131" customFormat="1" ht="24" customHeight="1" spans="1:6">
      <c r="A10" s="165" t="s">
        <v>716</v>
      </c>
      <c r="B10" s="166">
        <v>198726.24</v>
      </c>
      <c r="C10" s="166">
        <v>0</v>
      </c>
      <c r="D10" s="165"/>
      <c r="E10" s="166"/>
      <c r="F10" s="166"/>
    </row>
    <row r="11" s="131" customFormat="1" ht="24" customHeight="1" spans="1:6">
      <c r="A11" s="165" t="s">
        <v>717</v>
      </c>
      <c r="B11" s="166">
        <v>0</v>
      </c>
      <c r="C11" s="166">
        <v>0</v>
      </c>
      <c r="D11" s="165"/>
      <c r="E11" s="167"/>
      <c r="F11" s="167"/>
    </row>
    <row r="12" s="131" customFormat="1" ht="24" customHeight="1" spans="1:6">
      <c r="A12" s="165" t="s">
        <v>718</v>
      </c>
      <c r="B12" s="166">
        <f>B5+B6+B8+B9+B10</f>
        <v>120513210.82</v>
      </c>
      <c r="C12" s="166">
        <f>C5+C6+C8+C9+C10</f>
        <v>160145221</v>
      </c>
      <c r="D12" s="165" t="s">
        <v>719</v>
      </c>
      <c r="E12" s="166">
        <f>E5+E6+E7</f>
        <v>120513210.82</v>
      </c>
      <c r="F12" s="166">
        <f>F5+F6+F7</f>
        <v>160145221</v>
      </c>
    </row>
    <row r="13" s="131" customFormat="1" ht="24" customHeight="1" spans="1:6">
      <c r="A13" s="165" t="s">
        <v>720</v>
      </c>
      <c r="B13" s="166">
        <v>0</v>
      </c>
      <c r="C13" s="166">
        <v>0</v>
      </c>
      <c r="D13" s="165" t="s">
        <v>721</v>
      </c>
      <c r="E13" s="167">
        <v>0</v>
      </c>
      <c r="F13" s="167">
        <v>0</v>
      </c>
    </row>
    <row r="14" s="131" customFormat="1" ht="24" customHeight="1" spans="1:6">
      <c r="A14" s="165" t="s">
        <v>722</v>
      </c>
      <c r="B14" s="166">
        <v>0</v>
      </c>
      <c r="C14" s="166">
        <v>0</v>
      </c>
      <c r="D14" s="165" t="s">
        <v>723</v>
      </c>
      <c r="E14" s="166">
        <v>0</v>
      </c>
      <c r="F14" s="166">
        <v>0</v>
      </c>
    </row>
    <row r="15" s="131" customFormat="1" ht="24" customHeight="1" spans="1:6">
      <c r="A15" s="165" t="s">
        <v>724</v>
      </c>
      <c r="B15" s="166">
        <f t="shared" ref="B15:F15" si="0">B12+B13+B14</f>
        <v>120513210.82</v>
      </c>
      <c r="C15" s="166">
        <f t="shared" si="0"/>
        <v>160145221</v>
      </c>
      <c r="D15" s="165" t="s">
        <v>725</v>
      </c>
      <c r="E15" s="166">
        <f t="shared" si="0"/>
        <v>120513210.82</v>
      </c>
      <c r="F15" s="166">
        <f t="shared" si="0"/>
        <v>160145221</v>
      </c>
    </row>
    <row r="16" s="131" customFormat="1" ht="24" customHeight="1" spans="1:6">
      <c r="A16" s="165"/>
      <c r="B16" s="166" t="s">
        <v>726</v>
      </c>
      <c r="C16" s="166" t="s">
        <v>726</v>
      </c>
      <c r="D16" s="165" t="s">
        <v>727</v>
      </c>
      <c r="E16" s="167">
        <f>B15-E15</f>
        <v>0</v>
      </c>
      <c r="F16" s="167">
        <f>C15-F15</f>
        <v>0</v>
      </c>
    </row>
    <row r="17" s="131" customFormat="1" ht="24" customHeight="1" spans="1:6">
      <c r="A17" s="165" t="s">
        <v>728</v>
      </c>
      <c r="B17" s="166">
        <v>36237775.97</v>
      </c>
      <c r="C17" s="166">
        <f>E17</f>
        <v>36237775.97</v>
      </c>
      <c r="D17" s="165" t="s">
        <v>729</v>
      </c>
      <c r="E17" s="167">
        <f>B17+E16</f>
        <v>36237775.97</v>
      </c>
      <c r="F17" s="167">
        <f>C17+F16</f>
        <v>36237775.97</v>
      </c>
    </row>
    <row r="18" s="132" customFormat="1" ht="24" customHeight="1" spans="1:6">
      <c r="A18" s="168" t="s">
        <v>706</v>
      </c>
      <c r="B18" s="169">
        <f t="shared" ref="B18:F18" si="1">B15+B17</f>
        <v>156750986.79</v>
      </c>
      <c r="C18" s="169">
        <f t="shared" si="1"/>
        <v>196382996.97</v>
      </c>
      <c r="D18" s="168" t="s">
        <v>706</v>
      </c>
      <c r="E18" s="170">
        <f t="shared" si="1"/>
        <v>156750986.79</v>
      </c>
      <c r="F18" s="170">
        <f t="shared" si="1"/>
        <v>196382996.97</v>
      </c>
    </row>
  </sheetData>
  <mergeCells count="1024">
    <mergeCell ref="A2:F2"/>
    <mergeCell ref="IW2:JB2"/>
    <mergeCell ref="SS2:SX2"/>
    <mergeCell ref="ACO2:ACT2"/>
    <mergeCell ref="AMK2:AMP2"/>
    <mergeCell ref="AWG2:AWL2"/>
    <mergeCell ref="BGC2:BGH2"/>
    <mergeCell ref="BPY2:BQD2"/>
    <mergeCell ref="BZU2:BZZ2"/>
    <mergeCell ref="CJQ2:CJV2"/>
    <mergeCell ref="CTM2:CTR2"/>
    <mergeCell ref="DDI2:DDN2"/>
    <mergeCell ref="DNE2:DNJ2"/>
    <mergeCell ref="DXA2:DXF2"/>
    <mergeCell ref="EGW2:EHB2"/>
    <mergeCell ref="EQS2:EQX2"/>
    <mergeCell ref="FAO2:FAT2"/>
    <mergeCell ref="FKK2:FKP2"/>
    <mergeCell ref="FUG2:FUL2"/>
    <mergeCell ref="GEC2:GEH2"/>
    <mergeCell ref="GNY2:GOD2"/>
    <mergeCell ref="GXU2:GXZ2"/>
    <mergeCell ref="HHQ2:HHV2"/>
    <mergeCell ref="HRM2:HRR2"/>
    <mergeCell ref="IBI2:IBN2"/>
    <mergeCell ref="ILE2:ILJ2"/>
    <mergeCell ref="IVA2:IVF2"/>
    <mergeCell ref="JEW2:JFB2"/>
    <mergeCell ref="JOS2:JOX2"/>
    <mergeCell ref="JYO2:JYT2"/>
    <mergeCell ref="KIK2:KIP2"/>
    <mergeCell ref="KSG2:KSL2"/>
    <mergeCell ref="LCC2:LCH2"/>
    <mergeCell ref="LLY2:LMD2"/>
    <mergeCell ref="LVU2:LVZ2"/>
    <mergeCell ref="MFQ2:MFV2"/>
    <mergeCell ref="MPM2:MPR2"/>
    <mergeCell ref="MZI2:MZN2"/>
    <mergeCell ref="NJE2:NJJ2"/>
    <mergeCell ref="NTA2:NTF2"/>
    <mergeCell ref="OCW2:ODB2"/>
    <mergeCell ref="OMS2:OMX2"/>
    <mergeCell ref="OWO2:OWT2"/>
    <mergeCell ref="PGK2:PGP2"/>
    <mergeCell ref="PQG2:PQL2"/>
    <mergeCell ref="QAC2:QAH2"/>
    <mergeCell ref="QJY2:QKD2"/>
    <mergeCell ref="QTU2:QTZ2"/>
    <mergeCell ref="RDQ2:RDV2"/>
    <mergeCell ref="RNM2:RNR2"/>
    <mergeCell ref="RXI2:RXN2"/>
    <mergeCell ref="SHE2:SHJ2"/>
    <mergeCell ref="SRA2:SRF2"/>
    <mergeCell ref="TAW2:TBB2"/>
    <mergeCell ref="TKS2:TKX2"/>
    <mergeCell ref="TUO2:TUT2"/>
    <mergeCell ref="UEK2:UEP2"/>
    <mergeCell ref="UOG2:UOL2"/>
    <mergeCell ref="UYC2:UYH2"/>
    <mergeCell ref="VHY2:VID2"/>
    <mergeCell ref="VRU2:VRZ2"/>
    <mergeCell ref="WBQ2:WBV2"/>
    <mergeCell ref="WLM2:WLR2"/>
    <mergeCell ref="WVI2:WVN2"/>
    <mergeCell ref="A65537:F65537"/>
    <mergeCell ref="IW65537:JB65537"/>
    <mergeCell ref="SS65537:SX65537"/>
    <mergeCell ref="ACO65537:ACT65537"/>
    <mergeCell ref="AMK65537:AMP65537"/>
    <mergeCell ref="AWG65537:AWL65537"/>
    <mergeCell ref="BGC65537:BGH65537"/>
    <mergeCell ref="BPY65537:BQD65537"/>
    <mergeCell ref="BZU65537:BZZ65537"/>
    <mergeCell ref="CJQ65537:CJV65537"/>
    <mergeCell ref="CTM65537:CTR65537"/>
    <mergeCell ref="DDI65537:DDN65537"/>
    <mergeCell ref="DNE65537:DNJ65537"/>
    <mergeCell ref="DXA65537:DXF65537"/>
    <mergeCell ref="EGW65537:EHB65537"/>
    <mergeCell ref="EQS65537:EQX65537"/>
    <mergeCell ref="FAO65537:FAT65537"/>
    <mergeCell ref="FKK65537:FKP65537"/>
    <mergeCell ref="FUG65537:FUL65537"/>
    <mergeCell ref="GEC65537:GEH65537"/>
    <mergeCell ref="GNY65537:GOD65537"/>
    <mergeCell ref="GXU65537:GXZ65537"/>
    <mergeCell ref="HHQ65537:HHV65537"/>
    <mergeCell ref="HRM65537:HRR65537"/>
    <mergeCell ref="IBI65537:IBN65537"/>
    <mergeCell ref="ILE65537:ILJ65537"/>
    <mergeCell ref="IVA65537:IVF65537"/>
    <mergeCell ref="JEW65537:JFB65537"/>
    <mergeCell ref="JOS65537:JOX65537"/>
    <mergeCell ref="JYO65537:JYT65537"/>
    <mergeCell ref="KIK65537:KIP65537"/>
    <mergeCell ref="KSG65537:KSL65537"/>
    <mergeCell ref="LCC65537:LCH65537"/>
    <mergeCell ref="LLY65537:LMD65537"/>
    <mergeCell ref="LVU65537:LVZ65537"/>
    <mergeCell ref="MFQ65537:MFV65537"/>
    <mergeCell ref="MPM65537:MPR65537"/>
    <mergeCell ref="MZI65537:MZN65537"/>
    <mergeCell ref="NJE65537:NJJ65537"/>
    <mergeCell ref="NTA65537:NTF65537"/>
    <mergeCell ref="OCW65537:ODB65537"/>
    <mergeCell ref="OMS65537:OMX65537"/>
    <mergeCell ref="OWO65537:OWT65537"/>
    <mergeCell ref="PGK65537:PGP65537"/>
    <mergeCell ref="PQG65537:PQL65537"/>
    <mergeCell ref="QAC65537:QAH65537"/>
    <mergeCell ref="QJY65537:QKD65537"/>
    <mergeCell ref="QTU65537:QTZ65537"/>
    <mergeCell ref="RDQ65537:RDV65537"/>
    <mergeCell ref="RNM65537:RNR65537"/>
    <mergeCell ref="RXI65537:RXN65537"/>
    <mergeCell ref="SHE65537:SHJ65537"/>
    <mergeCell ref="SRA65537:SRF65537"/>
    <mergeCell ref="TAW65537:TBB65537"/>
    <mergeCell ref="TKS65537:TKX65537"/>
    <mergeCell ref="TUO65537:TUT65537"/>
    <mergeCell ref="UEK65537:UEP65537"/>
    <mergeCell ref="UOG65537:UOL65537"/>
    <mergeCell ref="UYC65537:UYH65537"/>
    <mergeCell ref="VHY65537:VID65537"/>
    <mergeCell ref="VRU65537:VRZ65537"/>
    <mergeCell ref="WBQ65537:WBV65537"/>
    <mergeCell ref="WLM65537:WLR65537"/>
    <mergeCell ref="WVI65537:WVN65537"/>
    <mergeCell ref="A131073:F131073"/>
    <mergeCell ref="IW131073:JB131073"/>
    <mergeCell ref="SS131073:SX131073"/>
    <mergeCell ref="ACO131073:ACT131073"/>
    <mergeCell ref="AMK131073:AMP131073"/>
    <mergeCell ref="AWG131073:AWL131073"/>
    <mergeCell ref="BGC131073:BGH131073"/>
    <mergeCell ref="BPY131073:BQD131073"/>
    <mergeCell ref="BZU131073:BZZ131073"/>
    <mergeCell ref="CJQ131073:CJV131073"/>
    <mergeCell ref="CTM131073:CTR131073"/>
    <mergeCell ref="DDI131073:DDN131073"/>
    <mergeCell ref="DNE131073:DNJ131073"/>
    <mergeCell ref="DXA131073:DXF131073"/>
    <mergeCell ref="EGW131073:EHB131073"/>
    <mergeCell ref="EQS131073:EQX131073"/>
    <mergeCell ref="FAO131073:FAT131073"/>
    <mergeCell ref="FKK131073:FKP131073"/>
    <mergeCell ref="FUG131073:FUL131073"/>
    <mergeCell ref="GEC131073:GEH131073"/>
    <mergeCell ref="GNY131073:GOD131073"/>
    <mergeCell ref="GXU131073:GXZ131073"/>
    <mergeCell ref="HHQ131073:HHV131073"/>
    <mergeCell ref="HRM131073:HRR131073"/>
    <mergeCell ref="IBI131073:IBN131073"/>
    <mergeCell ref="ILE131073:ILJ131073"/>
    <mergeCell ref="IVA131073:IVF131073"/>
    <mergeCell ref="JEW131073:JFB131073"/>
    <mergeCell ref="JOS131073:JOX131073"/>
    <mergeCell ref="JYO131073:JYT131073"/>
    <mergeCell ref="KIK131073:KIP131073"/>
    <mergeCell ref="KSG131073:KSL131073"/>
    <mergeCell ref="LCC131073:LCH131073"/>
    <mergeCell ref="LLY131073:LMD131073"/>
    <mergeCell ref="LVU131073:LVZ131073"/>
    <mergeCell ref="MFQ131073:MFV131073"/>
    <mergeCell ref="MPM131073:MPR131073"/>
    <mergeCell ref="MZI131073:MZN131073"/>
    <mergeCell ref="NJE131073:NJJ131073"/>
    <mergeCell ref="NTA131073:NTF131073"/>
    <mergeCell ref="OCW131073:ODB131073"/>
    <mergeCell ref="OMS131073:OMX131073"/>
    <mergeCell ref="OWO131073:OWT131073"/>
    <mergeCell ref="PGK131073:PGP131073"/>
    <mergeCell ref="PQG131073:PQL131073"/>
    <mergeCell ref="QAC131073:QAH131073"/>
    <mergeCell ref="QJY131073:QKD131073"/>
    <mergeCell ref="QTU131073:QTZ131073"/>
    <mergeCell ref="RDQ131073:RDV131073"/>
    <mergeCell ref="RNM131073:RNR131073"/>
    <mergeCell ref="RXI131073:RXN131073"/>
    <mergeCell ref="SHE131073:SHJ131073"/>
    <mergeCell ref="SRA131073:SRF131073"/>
    <mergeCell ref="TAW131073:TBB131073"/>
    <mergeCell ref="TKS131073:TKX131073"/>
    <mergeCell ref="TUO131073:TUT131073"/>
    <mergeCell ref="UEK131073:UEP131073"/>
    <mergeCell ref="UOG131073:UOL131073"/>
    <mergeCell ref="UYC131073:UYH131073"/>
    <mergeCell ref="VHY131073:VID131073"/>
    <mergeCell ref="VRU131073:VRZ131073"/>
    <mergeCell ref="WBQ131073:WBV131073"/>
    <mergeCell ref="WLM131073:WLR131073"/>
    <mergeCell ref="WVI131073:WVN131073"/>
    <mergeCell ref="A196609:F196609"/>
    <mergeCell ref="IW196609:JB196609"/>
    <mergeCell ref="SS196609:SX196609"/>
    <mergeCell ref="ACO196609:ACT196609"/>
    <mergeCell ref="AMK196609:AMP196609"/>
    <mergeCell ref="AWG196609:AWL196609"/>
    <mergeCell ref="BGC196609:BGH196609"/>
    <mergeCell ref="BPY196609:BQD196609"/>
    <mergeCell ref="BZU196609:BZZ196609"/>
    <mergeCell ref="CJQ196609:CJV196609"/>
    <mergeCell ref="CTM196609:CTR196609"/>
    <mergeCell ref="DDI196609:DDN196609"/>
    <mergeCell ref="DNE196609:DNJ196609"/>
    <mergeCell ref="DXA196609:DXF196609"/>
    <mergeCell ref="EGW196609:EHB196609"/>
    <mergeCell ref="EQS196609:EQX196609"/>
    <mergeCell ref="FAO196609:FAT196609"/>
    <mergeCell ref="FKK196609:FKP196609"/>
    <mergeCell ref="FUG196609:FUL196609"/>
    <mergeCell ref="GEC196609:GEH196609"/>
    <mergeCell ref="GNY196609:GOD196609"/>
    <mergeCell ref="GXU196609:GXZ196609"/>
    <mergeCell ref="HHQ196609:HHV196609"/>
    <mergeCell ref="HRM196609:HRR196609"/>
    <mergeCell ref="IBI196609:IBN196609"/>
    <mergeCell ref="ILE196609:ILJ196609"/>
    <mergeCell ref="IVA196609:IVF196609"/>
    <mergeCell ref="JEW196609:JFB196609"/>
    <mergeCell ref="JOS196609:JOX196609"/>
    <mergeCell ref="JYO196609:JYT196609"/>
    <mergeCell ref="KIK196609:KIP196609"/>
    <mergeCell ref="KSG196609:KSL196609"/>
    <mergeCell ref="LCC196609:LCH196609"/>
    <mergeCell ref="LLY196609:LMD196609"/>
    <mergeCell ref="LVU196609:LVZ196609"/>
    <mergeCell ref="MFQ196609:MFV196609"/>
    <mergeCell ref="MPM196609:MPR196609"/>
    <mergeCell ref="MZI196609:MZN196609"/>
    <mergeCell ref="NJE196609:NJJ196609"/>
    <mergeCell ref="NTA196609:NTF196609"/>
    <mergeCell ref="OCW196609:ODB196609"/>
    <mergeCell ref="OMS196609:OMX196609"/>
    <mergeCell ref="OWO196609:OWT196609"/>
    <mergeCell ref="PGK196609:PGP196609"/>
    <mergeCell ref="PQG196609:PQL196609"/>
    <mergeCell ref="QAC196609:QAH196609"/>
    <mergeCell ref="QJY196609:QKD196609"/>
    <mergeCell ref="QTU196609:QTZ196609"/>
    <mergeCell ref="RDQ196609:RDV196609"/>
    <mergeCell ref="RNM196609:RNR196609"/>
    <mergeCell ref="RXI196609:RXN196609"/>
    <mergeCell ref="SHE196609:SHJ196609"/>
    <mergeCell ref="SRA196609:SRF196609"/>
    <mergeCell ref="TAW196609:TBB196609"/>
    <mergeCell ref="TKS196609:TKX196609"/>
    <mergeCell ref="TUO196609:TUT196609"/>
    <mergeCell ref="UEK196609:UEP196609"/>
    <mergeCell ref="UOG196609:UOL196609"/>
    <mergeCell ref="UYC196609:UYH196609"/>
    <mergeCell ref="VHY196609:VID196609"/>
    <mergeCell ref="VRU196609:VRZ196609"/>
    <mergeCell ref="WBQ196609:WBV196609"/>
    <mergeCell ref="WLM196609:WLR196609"/>
    <mergeCell ref="WVI196609:WVN196609"/>
    <mergeCell ref="A262145:F262145"/>
    <mergeCell ref="IW262145:JB262145"/>
    <mergeCell ref="SS262145:SX262145"/>
    <mergeCell ref="ACO262145:ACT262145"/>
    <mergeCell ref="AMK262145:AMP262145"/>
    <mergeCell ref="AWG262145:AWL262145"/>
    <mergeCell ref="BGC262145:BGH262145"/>
    <mergeCell ref="BPY262145:BQD262145"/>
    <mergeCell ref="BZU262145:BZZ262145"/>
    <mergeCell ref="CJQ262145:CJV262145"/>
    <mergeCell ref="CTM262145:CTR262145"/>
    <mergeCell ref="DDI262145:DDN262145"/>
    <mergeCell ref="DNE262145:DNJ262145"/>
    <mergeCell ref="DXA262145:DXF262145"/>
    <mergeCell ref="EGW262145:EHB262145"/>
    <mergeCell ref="EQS262145:EQX262145"/>
    <mergeCell ref="FAO262145:FAT262145"/>
    <mergeCell ref="FKK262145:FKP262145"/>
    <mergeCell ref="FUG262145:FUL262145"/>
    <mergeCell ref="GEC262145:GEH262145"/>
    <mergeCell ref="GNY262145:GOD262145"/>
    <mergeCell ref="GXU262145:GXZ262145"/>
    <mergeCell ref="HHQ262145:HHV262145"/>
    <mergeCell ref="HRM262145:HRR262145"/>
    <mergeCell ref="IBI262145:IBN262145"/>
    <mergeCell ref="ILE262145:ILJ262145"/>
    <mergeCell ref="IVA262145:IVF262145"/>
    <mergeCell ref="JEW262145:JFB262145"/>
    <mergeCell ref="JOS262145:JOX262145"/>
    <mergeCell ref="JYO262145:JYT262145"/>
    <mergeCell ref="KIK262145:KIP262145"/>
    <mergeCell ref="KSG262145:KSL262145"/>
    <mergeCell ref="LCC262145:LCH262145"/>
    <mergeCell ref="LLY262145:LMD262145"/>
    <mergeCell ref="LVU262145:LVZ262145"/>
    <mergeCell ref="MFQ262145:MFV262145"/>
    <mergeCell ref="MPM262145:MPR262145"/>
    <mergeCell ref="MZI262145:MZN262145"/>
    <mergeCell ref="NJE262145:NJJ262145"/>
    <mergeCell ref="NTA262145:NTF262145"/>
    <mergeCell ref="OCW262145:ODB262145"/>
    <mergeCell ref="OMS262145:OMX262145"/>
    <mergeCell ref="OWO262145:OWT262145"/>
    <mergeCell ref="PGK262145:PGP262145"/>
    <mergeCell ref="PQG262145:PQL262145"/>
    <mergeCell ref="QAC262145:QAH262145"/>
    <mergeCell ref="QJY262145:QKD262145"/>
    <mergeCell ref="QTU262145:QTZ262145"/>
    <mergeCell ref="RDQ262145:RDV262145"/>
    <mergeCell ref="RNM262145:RNR262145"/>
    <mergeCell ref="RXI262145:RXN262145"/>
    <mergeCell ref="SHE262145:SHJ262145"/>
    <mergeCell ref="SRA262145:SRF262145"/>
    <mergeCell ref="TAW262145:TBB262145"/>
    <mergeCell ref="TKS262145:TKX262145"/>
    <mergeCell ref="TUO262145:TUT262145"/>
    <mergeCell ref="UEK262145:UEP262145"/>
    <mergeCell ref="UOG262145:UOL262145"/>
    <mergeCell ref="UYC262145:UYH262145"/>
    <mergeCell ref="VHY262145:VID262145"/>
    <mergeCell ref="VRU262145:VRZ262145"/>
    <mergeCell ref="WBQ262145:WBV262145"/>
    <mergeCell ref="WLM262145:WLR262145"/>
    <mergeCell ref="WVI262145:WVN262145"/>
    <mergeCell ref="A327681:F327681"/>
    <mergeCell ref="IW327681:JB327681"/>
    <mergeCell ref="SS327681:SX327681"/>
    <mergeCell ref="ACO327681:ACT327681"/>
    <mergeCell ref="AMK327681:AMP327681"/>
    <mergeCell ref="AWG327681:AWL327681"/>
    <mergeCell ref="BGC327681:BGH327681"/>
    <mergeCell ref="BPY327681:BQD327681"/>
    <mergeCell ref="BZU327681:BZZ327681"/>
    <mergeCell ref="CJQ327681:CJV327681"/>
    <mergeCell ref="CTM327681:CTR327681"/>
    <mergeCell ref="DDI327681:DDN327681"/>
    <mergeCell ref="DNE327681:DNJ327681"/>
    <mergeCell ref="DXA327681:DXF327681"/>
    <mergeCell ref="EGW327681:EHB327681"/>
    <mergeCell ref="EQS327681:EQX327681"/>
    <mergeCell ref="FAO327681:FAT327681"/>
    <mergeCell ref="FKK327681:FKP327681"/>
    <mergeCell ref="FUG327681:FUL327681"/>
    <mergeCell ref="GEC327681:GEH327681"/>
    <mergeCell ref="GNY327681:GOD327681"/>
    <mergeCell ref="GXU327681:GXZ327681"/>
    <mergeCell ref="HHQ327681:HHV327681"/>
    <mergeCell ref="HRM327681:HRR327681"/>
    <mergeCell ref="IBI327681:IBN327681"/>
    <mergeCell ref="ILE327681:ILJ327681"/>
    <mergeCell ref="IVA327681:IVF327681"/>
    <mergeCell ref="JEW327681:JFB327681"/>
    <mergeCell ref="JOS327681:JOX327681"/>
    <mergeCell ref="JYO327681:JYT327681"/>
    <mergeCell ref="KIK327681:KIP327681"/>
    <mergeCell ref="KSG327681:KSL327681"/>
    <mergeCell ref="LCC327681:LCH327681"/>
    <mergeCell ref="LLY327681:LMD327681"/>
    <mergeCell ref="LVU327681:LVZ327681"/>
    <mergeCell ref="MFQ327681:MFV327681"/>
    <mergeCell ref="MPM327681:MPR327681"/>
    <mergeCell ref="MZI327681:MZN327681"/>
    <mergeCell ref="NJE327681:NJJ327681"/>
    <mergeCell ref="NTA327681:NTF327681"/>
    <mergeCell ref="OCW327681:ODB327681"/>
    <mergeCell ref="OMS327681:OMX327681"/>
    <mergeCell ref="OWO327681:OWT327681"/>
    <mergeCell ref="PGK327681:PGP327681"/>
    <mergeCell ref="PQG327681:PQL327681"/>
    <mergeCell ref="QAC327681:QAH327681"/>
    <mergeCell ref="QJY327681:QKD327681"/>
    <mergeCell ref="QTU327681:QTZ327681"/>
    <mergeCell ref="RDQ327681:RDV327681"/>
    <mergeCell ref="RNM327681:RNR327681"/>
    <mergeCell ref="RXI327681:RXN327681"/>
    <mergeCell ref="SHE327681:SHJ327681"/>
    <mergeCell ref="SRA327681:SRF327681"/>
    <mergeCell ref="TAW327681:TBB327681"/>
    <mergeCell ref="TKS327681:TKX327681"/>
    <mergeCell ref="TUO327681:TUT327681"/>
    <mergeCell ref="UEK327681:UEP327681"/>
    <mergeCell ref="UOG327681:UOL327681"/>
    <mergeCell ref="UYC327681:UYH327681"/>
    <mergeCell ref="VHY327681:VID327681"/>
    <mergeCell ref="VRU327681:VRZ327681"/>
    <mergeCell ref="WBQ327681:WBV327681"/>
    <mergeCell ref="WLM327681:WLR327681"/>
    <mergeCell ref="WVI327681:WVN327681"/>
    <mergeCell ref="A393217:F393217"/>
    <mergeCell ref="IW393217:JB393217"/>
    <mergeCell ref="SS393217:SX393217"/>
    <mergeCell ref="ACO393217:ACT393217"/>
    <mergeCell ref="AMK393217:AMP393217"/>
    <mergeCell ref="AWG393217:AWL393217"/>
    <mergeCell ref="BGC393217:BGH393217"/>
    <mergeCell ref="BPY393217:BQD393217"/>
    <mergeCell ref="BZU393217:BZZ393217"/>
    <mergeCell ref="CJQ393217:CJV393217"/>
    <mergeCell ref="CTM393217:CTR393217"/>
    <mergeCell ref="DDI393217:DDN393217"/>
    <mergeCell ref="DNE393217:DNJ393217"/>
    <mergeCell ref="DXA393217:DXF393217"/>
    <mergeCell ref="EGW393217:EHB393217"/>
    <mergeCell ref="EQS393217:EQX393217"/>
    <mergeCell ref="FAO393217:FAT393217"/>
    <mergeCell ref="FKK393217:FKP393217"/>
    <mergeCell ref="FUG393217:FUL393217"/>
    <mergeCell ref="GEC393217:GEH393217"/>
    <mergeCell ref="GNY393217:GOD393217"/>
    <mergeCell ref="GXU393217:GXZ393217"/>
    <mergeCell ref="HHQ393217:HHV393217"/>
    <mergeCell ref="HRM393217:HRR393217"/>
    <mergeCell ref="IBI393217:IBN393217"/>
    <mergeCell ref="ILE393217:ILJ393217"/>
    <mergeCell ref="IVA393217:IVF393217"/>
    <mergeCell ref="JEW393217:JFB393217"/>
    <mergeCell ref="JOS393217:JOX393217"/>
    <mergeCell ref="JYO393217:JYT393217"/>
    <mergeCell ref="KIK393217:KIP393217"/>
    <mergeCell ref="KSG393217:KSL393217"/>
    <mergeCell ref="LCC393217:LCH393217"/>
    <mergeCell ref="LLY393217:LMD393217"/>
    <mergeCell ref="LVU393217:LVZ393217"/>
    <mergeCell ref="MFQ393217:MFV393217"/>
    <mergeCell ref="MPM393217:MPR393217"/>
    <mergeCell ref="MZI393217:MZN393217"/>
    <mergeCell ref="NJE393217:NJJ393217"/>
    <mergeCell ref="NTA393217:NTF393217"/>
    <mergeCell ref="OCW393217:ODB393217"/>
    <mergeCell ref="OMS393217:OMX393217"/>
    <mergeCell ref="OWO393217:OWT393217"/>
    <mergeCell ref="PGK393217:PGP393217"/>
    <mergeCell ref="PQG393217:PQL393217"/>
    <mergeCell ref="QAC393217:QAH393217"/>
    <mergeCell ref="QJY393217:QKD393217"/>
    <mergeCell ref="QTU393217:QTZ393217"/>
    <mergeCell ref="RDQ393217:RDV393217"/>
    <mergeCell ref="RNM393217:RNR393217"/>
    <mergeCell ref="RXI393217:RXN393217"/>
    <mergeCell ref="SHE393217:SHJ393217"/>
    <mergeCell ref="SRA393217:SRF393217"/>
    <mergeCell ref="TAW393217:TBB393217"/>
    <mergeCell ref="TKS393217:TKX393217"/>
    <mergeCell ref="TUO393217:TUT393217"/>
    <mergeCell ref="UEK393217:UEP393217"/>
    <mergeCell ref="UOG393217:UOL393217"/>
    <mergeCell ref="UYC393217:UYH393217"/>
    <mergeCell ref="VHY393217:VID393217"/>
    <mergeCell ref="VRU393217:VRZ393217"/>
    <mergeCell ref="WBQ393217:WBV393217"/>
    <mergeCell ref="WLM393217:WLR393217"/>
    <mergeCell ref="WVI393217:WVN393217"/>
    <mergeCell ref="A458753:F458753"/>
    <mergeCell ref="IW458753:JB458753"/>
    <mergeCell ref="SS458753:SX458753"/>
    <mergeCell ref="ACO458753:ACT458753"/>
    <mergeCell ref="AMK458753:AMP458753"/>
    <mergeCell ref="AWG458753:AWL458753"/>
    <mergeCell ref="BGC458753:BGH458753"/>
    <mergeCell ref="BPY458753:BQD458753"/>
    <mergeCell ref="BZU458753:BZZ458753"/>
    <mergeCell ref="CJQ458753:CJV458753"/>
    <mergeCell ref="CTM458753:CTR458753"/>
    <mergeCell ref="DDI458753:DDN458753"/>
    <mergeCell ref="DNE458753:DNJ458753"/>
    <mergeCell ref="DXA458753:DXF458753"/>
    <mergeCell ref="EGW458753:EHB458753"/>
    <mergeCell ref="EQS458753:EQX458753"/>
    <mergeCell ref="FAO458753:FAT458753"/>
    <mergeCell ref="FKK458753:FKP458753"/>
    <mergeCell ref="FUG458753:FUL458753"/>
    <mergeCell ref="GEC458753:GEH458753"/>
    <mergeCell ref="GNY458753:GOD458753"/>
    <mergeCell ref="GXU458753:GXZ458753"/>
    <mergeCell ref="HHQ458753:HHV458753"/>
    <mergeCell ref="HRM458753:HRR458753"/>
    <mergeCell ref="IBI458753:IBN458753"/>
    <mergeCell ref="ILE458753:ILJ458753"/>
    <mergeCell ref="IVA458753:IVF458753"/>
    <mergeCell ref="JEW458753:JFB458753"/>
    <mergeCell ref="JOS458753:JOX458753"/>
    <mergeCell ref="JYO458753:JYT458753"/>
    <mergeCell ref="KIK458753:KIP458753"/>
    <mergeCell ref="KSG458753:KSL458753"/>
    <mergeCell ref="LCC458753:LCH458753"/>
    <mergeCell ref="LLY458753:LMD458753"/>
    <mergeCell ref="LVU458753:LVZ458753"/>
    <mergeCell ref="MFQ458753:MFV458753"/>
    <mergeCell ref="MPM458753:MPR458753"/>
    <mergeCell ref="MZI458753:MZN458753"/>
    <mergeCell ref="NJE458753:NJJ458753"/>
    <mergeCell ref="NTA458753:NTF458753"/>
    <mergeCell ref="OCW458753:ODB458753"/>
    <mergeCell ref="OMS458753:OMX458753"/>
    <mergeCell ref="OWO458753:OWT458753"/>
    <mergeCell ref="PGK458753:PGP458753"/>
    <mergeCell ref="PQG458753:PQL458753"/>
    <mergeCell ref="QAC458753:QAH458753"/>
    <mergeCell ref="QJY458753:QKD458753"/>
    <mergeCell ref="QTU458753:QTZ458753"/>
    <mergeCell ref="RDQ458753:RDV458753"/>
    <mergeCell ref="RNM458753:RNR458753"/>
    <mergeCell ref="RXI458753:RXN458753"/>
    <mergeCell ref="SHE458753:SHJ458753"/>
    <mergeCell ref="SRA458753:SRF458753"/>
    <mergeCell ref="TAW458753:TBB458753"/>
    <mergeCell ref="TKS458753:TKX458753"/>
    <mergeCell ref="TUO458753:TUT458753"/>
    <mergeCell ref="UEK458753:UEP458753"/>
    <mergeCell ref="UOG458753:UOL458753"/>
    <mergeCell ref="UYC458753:UYH458753"/>
    <mergeCell ref="VHY458753:VID458753"/>
    <mergeCell ref="VRU458753:VRZ458753"/>
    <mergeCell ref="WBQ458753:WBV458753"/>
    <mergeCell ref="WLM458753:WLR458753"/>
    <mergeCell ref="WVI458753:WVN458753"/>
    <mergeCell ref="A524289:F524289"/>
    <mergeCell ref="IW524289:JB524289"/>
    <mergeCell ref="SS524289:SX524289"/>
    <mergeCell ref="ACO524289:ACT524289"/>
    <mergeCell ref="AMK524289:AMP524289"/>
    <mergeCell ref="AWG524289:AWL524289"/>
    <mergeCell ref="BGC524289:BGH524289"/>
    <mergeCell ref="BPY524289:BQD524289"/>
    <mergeCell ref="BZU524289:BZZ524289"/>
    <mergeCell ref="CJQ524289:CJV524289"/>
    <mergeCell ref="CTM524289:CTR524289"/>
    <mergeCell ref="DDI524289:DDN524289"/>
    <mergeCell ref="DNE524289:DNJ524289"/>
    <mergeCell ref="DXA524289:DXF524289"/>
    <mergeCell ref="EGW524289:EHB524289"/>
    <mergeCell ref="EQS524289:EQX524289"/>
    <mergeCell ref="FAO524289:FAT524289"/>
    <mergeCell ref="FKK524289:FKP524289"/>
    <mergeCell ref="FUG524289:FUL524289"/>
    <mergeCell ref="GEC524289:GEH524289"/>
    <mergeCell ref="GNY524289:GOD524289"/>
    <mergeCell ref="GXU524289:GXZ524289"/>
    <mergeCell ref="HHQ524289:HHV524289"/>
    <mergeCell ref="HRM524289:HRR524289"/>
    <mergeCell ref="IBI524289:IBN524289"/>
    <mergeCell ref="ILE524289:ILJ524289"/>
    <mergeCell ref="IVA524289:IVF524289"/>
    <mergeCell ref="JEW524289:JFB524289"/>
    <mergeCell ref="JOS524289:JOX524289"/>
    <mergeCell ref="JYO524289:JYT524289"/>
    <mergeCell ref="KIK524289:KIP524289"/>
    <mergeCell ref="KSG524289:KSL524289"/>
    <mergeCell ref="LCC524289:LCH524289"/>
    <mergeCell ref="LLY524289:LMD524289"/>
    <mergeCell ref="LVU524289:LVZ524289"/>
    <mergeCell ref="MFQ524289:MFV524289"/>
    <mergeCell ref="MPM524289:MPR524289"/>
    <mergeCell ref="MZI524289:MZN524289"/>
    <mergeCell ref="NJE524289:NJJ524289"/>
    <mergeCell ref="NTA524289:NTF524289"/>
    <mergeCell ref="OCW524289:ODB524289"/>
    <mergeCell ref="OMS524289:OMX524289"/>
    <mergeCell ref="OWO524289:OWT524289"/>
    <mergeCell ref="PGK524289:PGP524289"/>
    <mergeCell ref="PQG524289:PQL524289"/>
    <mergeCell ref="QAC524289:QAH524289"/>
    <mergeCell ref="QJY524289:QKD524289"/>
    <mergeCell ref="QTU524289:QTZ524289"/>
    <mergeCell ref="RDQ524289:RDV524289"/>
    <mergeCell ref="RNM524289:RNR524289"/>
    <mergeCell ref="RXI524289:RXN524289"/>
    <mergeCell ref="SHE524289:SHJ524289"/>
    <mergeCell ref="SRA524289:SRF524289"/>
    <mergeCell ref="TAW524289:TBB524289"/>
    <mergeCell ref="TKS524289:TKX524289"/>
    <mergeCell ref="TUO524289:TUT524289"/>
    <mergeCell ref="UEK524289:UEP524289"/>
    <mergeCell ref="UOG524289:UOL524289"/>
    <mergeCell ref="UYC524289:UYH524289"/>
    <mergeCell ref="VHY524289:VID524289"/>
    <mergeCell ref="VRU524289:VRZ524289"/>
    <mergeCell ref="WBQ524289:WBV524289"/>
    <mergeCell ref="WLM524289:WLR524289"/>
    <mergeCell ref="WVI524289:WVN524289"/>
    <mergeCell ref="A589825:F589825"/>
    <mergeCell ref="IW589825:JB589825"/>
    <mergeCell ref="SS589825:SX589825"/>
    <mergeCell ref="ACO589825:ACT589825"/>
    <mergeCell ref="AMK589825:AMP589825"/>
    <mergeCell ref="AWG589825:AWL589825"/>
    <mergeCell ref="BGC589825:BGH589825"/>
    <mergeCell ref="BPY589825:BQD589825"/>
    <mergeCell ref="BZU589825:BZZ589825"/>
    <mergeCell ref="CJQ589825:CJV589825"/>
    <mergeCell ref="CTM589825:CTR589825"/>
    <mergeCell ref="DDI589825:DDN589825"/>
    <mergeCell ref="DNE589825:DNJ589825"/>
    <mergeCell ref="DXA589825:DXF589825"/>
    <mergeCell ref="EGW589825:EHB589825"/>
    <mergeCell ref="EQS589825:EQX589825"/>
    <mergeCell ref="FAO589825:FAT589825"/>
    <mergeCell ref="FKK589825:FKP589825"/>
    <mergeCell ref="FUG589825:FUL589825"/>
    <mergeCell ref="GEC589825:GEH589825"/>
    <mergeCell ref="GNY589825:GOD589825"/>
    <mergeCell ref="GXU589825:GXZ589825"/>
    <mergeCell ref="HHQ589825:HHV589825"/>
    <mergeCell ref="HRM589825:HRR589825"/>
    <mergeCell ref="IBI589825:IBN589825"/>
    <mergeCell ref="ILE589825:ILJ589825"/>
    <mergeCell ref="IVA589825:IVF589825"/>
    <mergeCell ref="JEW589825:JFB589825"/>
    <mergeCell ref="JOS589825:JOX589825"/>
    <mergeCell ref="JYO589825:JYT589825"/>
    <mergeCell ref="KIK589825:KIP589825"/>
    <mergeCell ref="KSG589825:KSL589825"/>
    <mergeCell ref="LCC589825:LCH589825"/>
    <mergeCell ref="LLY589825:LMD589825"/>
    <mergeCell ref="LVU589825:LVZ589825"/>
    <mergeCell ref="MFQ589825:MFV589825"/>
    <mergeCell ref="MPM589825:MPR589825"/>
    <mergeCell ref="MZI589825:MZN589825"/>
    <mergeCell ref="NJE589825:NJJ589825"/>
    <mergeCell ref="NTA589825:NTF589825"/>
    <mergeCell ref="OCW589825:ODB589825"/>
    <mergeCell ref="OMS589825:OMX589825"/>
    <mergeCell ref="OWO589825:OWT589825"/>
    <mergeCell ref="PGK589825:PGP589825"/>
    <mergeCell ref="PQG589825:PQL589825"/>
    <mergeCell ref="QAC589825:QAH589825"/>
    <mergeCell ref="QJY589825:QKD589825"/>
    <mergeCell ref="QTU589825:QTZ589825"/>
    <mergeCell ref="RDQ589825:RDV589825"/>
    <mergeCell ref="RNM589825:RNR589825"/>
    <mergeCell ref="RXI589825:RXN589825"/>
    <mergeCell ref="SHE589825:SHJ589825"/>
    <mergeCell ref="SRA589825:SRF589825"/>
    <mergeCell ref="TAW589825:TBB589825"/>
    <mergeCell ref="TKS589825:TKX589825"/>
    <mergeCell ref="TUO589825:TUT589825"/>
    <mergeCell ref="UEK589825:UEP589825"/>
    <mergeCell ref="UOG589825:UOL589825"/>
    <mergeCell ref="UYC589825:UYH589825"/>
    <mergeCell ref="VHY589825:VID589825"/>
    <mergeCell ref="VRU589825:VRZ589825"/>
    <mergeCell ref="WBQ589825:WBV589825"/>
    <mergeCell ref="WLM589825:WLR589825"/>
    <mergeCell ref="WVI589825:WVN589825"/>
    <mergeCell ref="A655361:F655361"/>
    <mergeCell ref="IW655361:JB655361"/>
    <mergeCell ref="SS655361:SX655361"/>
    <mergeCell ref="ACO655361:ACT655361"/>
    <mergeCell ref="AMK655361:AMP655361"/>
    <mergeCell ref="AWG655361:AWL655361"/>
    <mergeCell ref="BGC655361:BGH655361"/>
    <mergeCell ref="BPY655361:BQD655361"/>
    <mergeCell ref="BZU655361:BZZ655361"/>
    <mergeCell ref="CJQ655361:CJV655361"/>
    <mergeCell ref="CTM655361:CTR655361"/>
    <mergeCell ref="DDI655361:DDN655361"/>
    <mergeCell ref="DNE655361:DNJ655361"/>
    <mergeCell ref="DXA655361:DXF655361"/>
    <mergeCell ref="EGW655361:EHB655361"/>
    <mergeCell ref="EQS655361:EQX655361"/>
    <mergeCell ref="FAO655361:FAT655361"/>
    <mergeCell ref="FKK655361:FKP655361"/>
    <mergeCell ref="FUG655361:FUL655361"/>
    <mergeCell ref="GEC655361:GEH655361"/>
    <mergeCell ref="GNY655361:GOD655361"/>
    <mergeCell ref="GXU655361:GXZ655361"/>
    <mergeCell ref="HHQ655361:HHV655361"/>
    <mergeCell ref="HRM655361:HRR655361"/>
    <mergeCell ref="IBI655361:IBN655361"/>
    <mergeCell ref="ILE655361:ILJ655361"/>
    <mergeCell ref="IVA655361:IVF655361"/>
    <mergeCell ref="JEW655361:JFB655361"/>
    <mergeCell ref="JOS655361:JOX655361"/>
    <mergeCell ref="JYO655361:JYT655361"/>
    <mergeCell ref="KIK655361:KIP655361"/>
    <mergeCell ref="KSG655361:KSL655361"/>
    <mergeCell ref="LCC655361:LCH655361"/>
    <mergeCell ref="LLY655361:LMD655361"/>
    <mergeCell ref="LVU655361:LVZ655361"/>
    <mergeCell ref="MFQ655361:MFV655361"/>
    <mergeCell ref="MPM655361:MPR655361"/>
    <mergeCell ref="MZI655361:MZN655361"/>
    <mergeCell ref="NJE655361:NJJ655361"/>
    <mergeCell ref="NTA655361:NTF655361"/>
    <mergeCell ref="OCW655361:ODB655361"/>
    <mergeCell ref="OMS655361:OMX655361"/>
    <mergeCell ref="OWO655361:OWT655361"/>
    <mergeCell ref="PGK655361:PGP655361"/>
    <mergeCell ref="PQG655361:PQL655361"/>
    <mergeCell ref="QAC655361:QAH655361"/>
    <mergeCell ref="QJY655361:QKD655361"/>
    <mergeCell ref="QTU655361:QTZ655361"/>
    <mergeCell ref="RDQ655361:RDV655361"/>
    <mergeCell ref="RNM655361:RNR655361"/>
    <mergeCell ref="RXI655361:RXN655361"/>
    <mergeCell ref="SHE655361:SHJ655361"/>
    <mergeCell ref="SRA655361:SRF655361"/>
    <mergeCell ref="TAW655361:TBB655361"/>
    <mergeCell ref="TKS655361:TKX655361"/>
    <mergeCell ref="TUO655361:TUT655361"/>
    <mergeCell ref="UEK655361:UEP655361"/>
    <mergeCell ref="UOG655361:UOL655361"/>
    <mergeCell ref="UYC655361:UYH655361"/>
    <mergeCell ref="VHY655361:VID655361"/>
    <mergeCell ref="VRU655361:VRZ655361"/>
    <mergeCell ref="WBQ655361:WBV655361"/>
    <mergeCell ref="WLM655361:WLR655361"/>
    <mergeCell ref="WVI655361:WVN655361"/>
    <mergeCell ref="A720897:F720897"/>
    <mergeCell ref="IW720897:JB720897"/>
    <mergeCell ref="SS720897:SX720897"/>
    <mergeCell ref="ACO720897:ACT720897"/>
    <mergeCell ref="AMK720897:AMP720897"/>
    <mergeCell ref="AWG720897:AWL720897"/>
    <mergeCell ref="BGC720897:BGH720897"/>
    <mergeCell ref="BPY720897:BQD720897"/>
    <mergeCell ref="BZU720897:BZZ720897"/>
    <mergeCell ref="CJQ720897:CJV720897"/>
    <mergeCell ref="CTM720897:CTR720897"/>
    <mergeCell ref="DDI720897:DDN720897"/>
    <mergeCell ref="DNE720897:DNJ720897"/>
    <mergeCell ref="DXA720897:DXF720897"/>
    <mergeCell ref="EGW720897:EHB720897"/>
    <mergeCell ref="EQS720897:EQX720897"/>
    <mergeCell ref="FAO720897:FAT720897"/>
    <mergeCell ref="FKK720897:FKP720897"/>
    <mergeCell ref="FUG720897:FUL720897"/>
    <mergeCell ref="GEC720897:GEH720897"/>
    <mergeCell ref="GNY720897:GOD720897"/>
    <mergeCell ref="GXU720897:GXZ720897"/>
    <mergeCell ref="HHQ720897:HHV720897"/>
    <mergeCell ref="HRM720897:HRR720897"/>
    <mergeCell ref="IBI720897:IBN720897"/>
    <mergeCell ref="ILE720897:ILJ720897"/>
    <mergeCell ref="IVA720897:IVF720897"/>
    <mergeCell ref="JEW720897:JFB720897"/>
    <mergeCell ref="JOS720897:JOX720897"/>
    <mergeCell ref="JYO720897:JYT720897"/>
    <mergeCell ref="KIK720897:KIP720897"/>
    <mergeCell ref="KSG720897:KSL720897"/>
    <mergeCell ref="LCC720897:LCH720897"/>
    <mergeCell ref="LLY720897:LMD720897"/>
    <mergeCell ref="LVU720897:LVZ720897"/>
    <mergeCell ref="MFQ720897:MFV720897"/>
    <mergeCell ref="MPM720897:MPR720897"/>
    <mergeCell ref="MZI720897:MZN720897"/>
    <mergeCell ref="NJE720897:NJJ720897"/>
    <mergeCell ref="NTA720897:NTF720897"/>
    <mergeCell ref="OCW720897:ODB720897"/>
    <mergeCell ref="OMS720897:OMX720897"/>
    <mergeCell ref="OWO720897:OWT720897"/>
    <mergeCell ref="PGK720897:PGP720897"/>
    <mergeCell ref="PQG720897:PQL720897"/>
    <mergeCell ref="QAC720897:QAH720897"/>
    <mergeCell ref="QJY720897:QKD720897"/>
    <mergeCell ref="QTU720897:QTZ720897"/>
    <mergeCell ref="RDQ720897:RDV720897"/>
    <mergeCell ref="RNM720897:RNR720897"/>
    <mergeCell ref="RXI720897:RXN720897"/>
    <mergeCell ref="SHE720897:SHJ720897"/>
    <mergeCell ref="SRA720897:SRF720897"/>
    <mergeCell ref="TAW720897:TBB720897"/>
    <mergeCell ref="TKS720897:TKX720897"/>
    <mergeCell ref="TUO720897:TUT720897"/>
    <mergeCell ref="UEK720897:UEP720897"/>
    <mergeCell ref="UOG720897:UOL720897"/>
    <mergeCell ref="UYC720897:UYH720897"/>
    <mergeCell ref="VHY720897:VID720897"/>
    <mergeCell ref="VRU720897:VRZ720897"/>
    <mergeCell ref="WBQ720897:WBV720897"/>
    <mergeCell ref="WLM720897:WLR720897"/>
    <mergeCell ref="WVI720897:WVN720897"/>
    <mergeCell ref="A786433:F786433"/>
    <mergeCell ref="IW786433:JB786433"/>
    <mergeCell ref="SS786433:SX786433"/>
    <mergeCell ref="ACO786433:ACT786433"/>
    <mergeCell ref="AMK786433:AMP786433"/>
    <mergeCell ref="AWG786433:AWL786433"/>
    <mergeCell ref="BGC786433:BGH786433"/>
    <mergeCell ref="BPY786433:BQD786433"/>
    <mergeCell ref="BZU786433:BZZ786433"/>
    <mergeCell ref="CJQ786433:CJV786433"/>
    <mergeCell ref="CTM786433:CTR786433"/>
    <mergeCell ref="DDI786433:DDN786433"/>
    <mergeCell ref="DNE786433:DNJ786433"/>
    <mergeCell ref="DXA786433:DXF786433"/>
    <mergeCell ref="EGW786433:EHB786433"/>
    <mergeCell ref="EQS786433:EQX786433"/>
    <mergeCell ref="FAO786433:FAT786433"/>
    <mergeCell ref="FKK786433:FKP786433"/>
    <mergeCell ref="FUG786433:FUL786433"/>
    <mergeCell ref="GEC786433:GEH786433"/>
    <mergeCell ref="GNY786433:GOD786433"/>
    <mergeCell ref="GXU786433:GXZ786433"/>
    <mergeCell ref="HHQ786433:HHV786433"/>
    <mergeCell ref="HRM786433:HRR786433"/>
    <mergeCell ref="IBI786433:IBN786433"/>
    <mergeCell ref="ILE786433:ILJ786433"/>
    <mergeCell ref="IVA786433:IVF786433"/>
    <mergeCell ref="JEW786433:JFB786433"/>
    <mergeCell ref="JOS786433:JOX786433"/>
    <mergeCell ref="JYO786433:JYT786433"/>
    <mergeCell ref="KIK786433:KIP786433"/>
    <mergeCell ref="KSG786433:KSL786433"/>
    <mergeCell ref="LCC786433:LCH786433"/>
    <mergeCell ref="LLY786433:LMD786433"/>
    <mergeCell ref="LVU786433:LVZ786433"/>
    <mergeCell ref="MFQ786433:MFV786433"/>
    <mergeCell ref="MPM786433:MPR786433"/>
    <mergeCell ref="MZI786433:MZN786433"/>
    <mergeCell ref="NJE786433:NJJ786433"/>
    <mergeCell ref="NTA786433:NTF786433"/>
    <mergeCell ref="OCW786433:ODB786433"/>
    <mergeCell ref="OMS786433:OMX786433"/>
    <mergeCell ref="OWO786433:OWT786433"/>
    <mergeCell ref="PGK786433:PGP786433"/>
    <mergeCell ref="PQG786433:PQL786433"/>
    <mergeCell ref="QAC786433:QAH786433"/>
    <mergeCell ref="QJY786433:QKD786433"/>
    <mergeCell ref="QTU786433:QTZ786433"/>
    <mergeCell ref="RDQ786433:RDV786433"/>
    <mergeCell ref="RNM786433:RNR786433"/>
    <mergeCell ref="RXI786433:RXN786433"/>
    <mergeCell ref="SHE786433:SHJ786433"/>
    <mergeCell ref="SRA786433:SRF786433"/>
    <mergeCell ref="TAW786433:TBB786433"/>
    <mergeCell ref="TKS786433:TKX786433"/>
    <mergeCell ref="TUO786433:TUT786433"/>
    <mergeCell ref="UEK786433:UEP786433"/>
    <mergeCell ref="UOG786433:UOL786433"/>
    <mergeCell ref="UYC786433:UYH786433"/>
    <mergeCell ref="VHY786433:VID786433"/>
    <mergeCell ref="VRU786433:VRZ786433"/>
    <mergeCell ref="WBQ786433:WBV786433"/>
    <mergeCell ref="WLM786433:WLR786433"/>
    <mergeCell ref="WVI786433:WVN786433"/>
    <mergeCell ref="A851969:F851969"/>
    <mergeCell ref="IW851969:JB851969"/>
    <mergeCell ref="SS851969:SX851969"/>
    <mergeCell ref="ACO851969:ACT851969"/>
    <mergeCell ref="AMK851969:AMP851969"/>
    <mergeCell ref="AWG851969:AWL851969"/>
    <mergeCell ref="BGC851969:BGH851969"/>
    <mergeCell ref="BPY851969:BQD851969"/>
    <mergeCell ref="BZU851969:BZZ851969"/>
    <mergeCell ref="CJQ851969:CJV851969"/>
    <mergeCell ref="CTM851969:CTR851969"/>
    <mergeCell ref="DDI851969:DDN851969"/>
    <mergeCell ref="DNE851969:DNJ851969"/>
    <mergeCell ref="DXA851969:DXF851969"/>
    <mergeCell ref="EGW851969:EHB851969"/>
    <mergeCell ref="EQS851969:EQX851969"/>
    <mergeCell ref="FAO851969:FAT851969"/>
    <mergeCell ref="FKK851969:FKP851969"/>
    <mergeCell ref="FUG851969:FUL851969"/>
    <mergeCell ref="GEC851969:GEH851969"/>
    <mergeCell ref="GNY851969:GOD851969"/>
    <mergeCell ref="GXU851969:GXZ851969"/>
    <mergeCell ref="HHQ851969:HHV851969"/>
    <mergeCell ref="HRM851969:HRR851969"/>
    <mergeCell ref="IBI851969:IBN851969"/>
    <mergeCell ref="ILE851969:ILJ851969"/>
    <mergeCell ref="IVA851969:IVF851969"/>
    <mergeCell ref="JEW851969:JFB851969"/>
    <mergeCell ref="JOS851969:JOX851969"/>
    <mergeCell ref="JYO851969:JYT851969"/>
    <mergeCell ref="KIK851969:KIP851969"/>
    <mergeCell ref="KSG851969:KSL851969"/>
    <mergeCell ref="LCC851969:LCH851969"/>
    <mergeCell ref="LLY851969:LMD851969"/>
    <mergeCell ref="LVU851969:LVZ851969"/>
    <mergeCell ref="MFQ851969:MFV851969"/>
    <mergeCell ref="MPM851969:MPR851969"/>
    <mergeCell ref="MZI851969:MZN851969"/>
    <mergeCell ref="NJE851969:NJJ851969"/>
    <mergeCell ref="NTA851969:NTF851969"/>
    <mergeCell ref="OCW851969:ODB851969"/>
    <mergeCell ref="OMS851969:OMX851969"/>
    <mergeCell ref="OWO851969:OWT851969"/>
    <mergeCell ref="PGK851969:PGP851969"/>
    <mergeCell ref="PQG851969:PQL851969"/>
    <mergeCell ref="QAC851969:QAH851969"/>
    <mergeCell ref="QJY851969:QKD851969"/>
    <mergeCell ref="QTU851969:QTZ851969"/>
    <mergeCell ref="RDQ851969:RDV851969"/>
    <mergeCell ref="RNM851969:RNR851969"/>
    <mergeCell ref="RXI851969:RXN851969"/>
    <mergeCell ref="SHE851969:SHJ851969"/>
    <mergeCell ref="SRA851969:SRF851969"/>
    <mergeCell ref="TAW851969:TBB851969"/>
    <mergeCell ref="TKS851969:TKX851969"/>
    <mergeCell ref="TUO851969:TUT851969"/>
    <mergeCell ref="UEK851969:UEP851969"/>
    <mergeCell ref="UOG851969:UOL851969"/>
    <mergeCell ref="UYC851969:UYH851969"/>
    <mergeCell ref="VHY851969:VID851969"/>
    <mergeCell ref="VRU851969:VRZ851969"/>
    <mergeCell ref="WBQ851969:WBV851969"/>
    <mergeCell ref="WLM851969:WLR851969"/>
    <mergeCell ref="WVI851969:WVN851969"/>
    <mergeCell ref="A917505:F917505"/>
    <mergeCell ref="IW917505:JB917505"/>
    <mergeCell ref="SS917505:SX917505"/>
    <mergeCell ref="ACO917505:ACT917505"/>
    <mergeCell ref="AMK917505:AMP917505"/>
    <mergeCell ref="AWG917505:AWL917505"/>
    <mergeCell ref="BGC917505:BGH917505"/>
    <mergeCell ref="BPY917505:BQD917505"/>
    <mergeCell ref="BZU917505:BZZ917505"/>
    <mergeCell ref="CJQ917505:CJV917505"/>
    <mergeCell ref="CTM917505:CTR917505"/>
    <mergeCell ref="DDI917505:DDN917505"/>
    <mergeCell ref="DNE917505:DNJ917505"/>
    <mergeCell ref="DXA917505:DXF917505"/>
    <mergeCell ref="EGW917505:EHB917505"/>
    <mergeCell ref="EQS917505:EQX917505"/>
    <mergeCell ref="FAO917505:FAT917505"/>
    <mergeCell ref="FKK917505:FKP917505"/>
    <mergeCell ref="FUG917505:FUL917505"/>
    <mergeCell ref="GEC917505:GEH917505"/>
    <mergeCell ref="GNY917505:GOD917505"/>
    <mergeCell ref="GXU917505:GXZ917505"/>
    <mergeCell ref="HHQ917505:HHV917505"/>
    <mergeCell ref="HRM917505:HRR917505"/>
    <mergeCell ref="IBI917505:IBN917505"/>
    <mergeCell ref="ILE917505:ILJ917505"/>
    <mergeCell ref="IVA917505:IVF917505"/>
    <mergeCell ref="JEW917505:JFB917505"/>
    <mergeCell ref="JOS917505:JOX917505"/>
    <mergeCell ref="JYO917505:JYT917505"/>
    <mergeCell ref="KIK917505:KIP917505"/>
    <mergeCell ref="KSG917505:KSL917505"/>
    <mergeCell ref="LCC917505:LCH917505"/>
    <mergeCell ref="LLY917505:LMD917505"/>
    <mergeCell ref="LVU917505:LVZ917505"/>
    <mergeCell ref="MFQ917505:MFV917505"/>
    <mergeCell ref="MPM917505:MPR917505"/>
    <mergeCell ref="MZI917505:MZN917505"/>
    <mergeCell ref="NJE917505:NJJ917505"/>
    <mergeCell ref="NTA917505:NTF917505"/>
    <mergeCell ref="OCW917505:ODB917505"/>
    <mergeCell ref="OMS917505:OMX917505"/>
    <mergeCell ref="OWO917505:OWT917505"/>
    <mergeCell ref="PGK917505:PGP917505"/>
    <mergeCell ref="PQG917505:PQL917505"/>
    <mergeCell ref="QAC917505:QAH917505"/>
    <mergeCell ref="QJY917505:QKD917505"/>
    <mergeCell ref="QTU917505:QTZ917505"/>
    <mergeCell ref="RDQ917505:RDV917505"/>
    <mergeCell ref="RNM917505:RNR917505"/>
    <mergeCell ref="RXI917505:RXN917505"/>
    <mergeCell ref="SHE917505:SHJ917505"/>
    <mergeCell ref="SRA917505:SRF917505"/>
    <mergeCell ref="TAW917505:TBB917505"/>
    <mergeCell ref="TKS917505:TKX917505"/>
    <mergeCell ref="TUO917505:TUT917505"/>
    <mergeCell ref="UEK917505:UEP917505"/>
    <mergeCell ref="UOG917505:UOL917505"/>
    <mergeCell ref="UYC917505:UYH917505"/>
    <mergeCell ref="VHY917505:VID917505"/>
    <mergeCell ref="VRU917505:VRZ917505"/>
    <mergeCell ref="WBQ917505:WBV917505"/>
    <mergeCell ref="WLM917505:WLR917505"/>
    <mergeCell ref="WVI917505:WVN917505"/>
    <mergeCell ref="A983041:F983041"/>
    <mergeCell ref="IW983041:JB983041"/>
    <mergeCell ref="SS983041:SX983041"/>
    <mergeCell ref="ACO983041:ACT983041"/>
    <mergeCell ref="AMK983041:AMP983041"/>
    <mergeCell ref="AWG983041:AWL983041"/>
    <mergeCell ref="BGC983041:BGH983041"/>
    <mergeCell ref="BPY983041:BQD983041"/>
    <mergeCell ref="BZU983041:BZZ983041"/>
    <mergeCell ref="CJQ983041:CJV983041"/>
    <mergeCell ref="CTM983041:CTR983041"/>
    <mergeCell ref="DDI983041:DDN983041"/>
    <mergeCell ref="DNE983041:DNJ983041"/>
    <mergeCell ref="DXA983041:DXF983041"/>
    <mergeCell ref="EGW983041:EHB983041"/>
    <mergeCell ref="EQS983041:EQX983041"/>
    <mergeCell ref="FAO983041:FAT983041"/>
    <mergeCell ref="FKK983041:FKP983041"/>
    <mergeCell ref="FUG983041:FUL983041"/>
    <mergeCell ref="GEC983041:GEH983041"/>
    <mergeCell ref="GNY983041:GOD983041"/>
    <mergeCell ref="GXU983041:GXZ983041"/>
    <mergeCell ref="HHQ983041:HHV983041"/>
    <mergeCell ref="HRM983041:HRR983041"/>
    <mergeCell ref="IBI983041:IBN983041"/>
    <mergeCell ref="ILE983041:ILJ983041"/>
    <mergeCell ref="IVA983041:IVF983041"/>
    <mergeCell ref="JEW983041:JFB983041"/>
    <mergeCell ref="JOS983041:JOX983041"/>
    <mergeCell ref="JYO983041:JYT983041"/>
    <mergeCell ref="KIK983041:KIP983041"/>
    <mergeCell ref="KSG983041:KSL983041"/>
    <mergeCell ref="LCC983041:LCH983041"/>
    <mergeCell ref="LLY983041:LMD983041"/>
    <mergeCell ref="LVU983041:LVZ983041"/>
    <mergeCell ref="MFQ983041:MFV983041"/>
    <mergeCell ref="MPM983041:MPR983041"/>
    <mergeCell ref="MZI983041:MZN983041"/>
    <mergeCell ref="NJE983041:NJJ983041"/>
    <mergeCell ref="NTA983041:NTF983041"/>
    <mergeCell ref="OCW983041:ODB983041"/>
    <mergeCell ref="OMS983041:OMX983041"/>
    <mergeCell ref="OWO983041:OWT983041"/>
    <mergeCell ref="PGK983041:PGP983041"/>
    <mergeCell ref="PQG983041:PQL983041"/>
    <mergeCell ref="QAC983041:QAH983041"/>
    <mergeCell ref="QJY983041:QKD983041"/>
    <mergeCell ref="QTU983041:QTZ983041"/>
    <mergeCell ref="RDQ983041:RDV983041"/>
    <mergeCell ref="RNM983041:RNR983041"/>
    <mergeCell ref="RXI983041:RXN983041"/>
    <mergeCell ref="SHE983041:SHJ983041"/>
    <mergeCell ref="SRA983041:SRF983041"/>
    <mergeCell ref="TAW983041:TBB983041"/>
    <mergeCell ref="TKS983041:TKX983041"/>
    <mergeCell ref="TUO983041:TUT983041"/>
    <mergeCell ref="UEK983041:UEP983041"/>
    <mergeCell ref="UOG983041:UOL983041"/>
    <mergeCell ref="UYC983041:UYH983041"/>
    <mergeCell ref="VHY983041:VID983041"/>
    <mergeCell ref="VRU983041:VRZ983041"/>
    <mergeCell ref="WBQ983041:WBV983041"/>
    <mergeCell ref="WLM983041:WLR983041"/>
    <mergeCell ref="WVI983041:WVN983041"/>
  </mergeCells>
  <printOptions horizontalCentered="1"/>
  <pageMargins left="0.94375" right="0.786805555555556" top="0.786805555555556" bottom="0.393055555555556" header="0.629166666666667" footer="0.511805555555556"/>
  <pageSetup paperSize="9" scale="110" firstPageNumber="70" orientation="landscape" useFirstPageNumber="1" errors="blank" horizontalDpi="600"/>
  <headerFooter>
    <oddFooter>&amp;C&amp;"Times New Roman"&amp;12—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N983042"/>
  <sheetViews>
    <sheetView showGridLines="0" showZeros="0" workbookViewId="0">
      <pane topLeftCell="B5" activePane="bottomRight" state="frozen"/>
      <selection activeCell="D17" sqref="D17"/>
    </sheetView>
  </sheetViews>
  <sheetFormatPr defaultColWidth="9.13888888888889" defaultRowHeight="14.25" customHeight="1"/>
  <cols>
    <col min="1" max="1" width="28.4444444444444" style="131" customWidth="1"/>
    <col min="2" max="3" width="15.6666666666667" style="131" customWidth="1"/>
    <col min="4" max="4" width="34.1111111111111" style="131" customWidth="1"/>
    <col min="5" max="6" width="14.8888888888889" style="131" customWidth="1"/>
    <col min="7" max="16384" width="9.13888888888889" style="131"/>
  </cols>
  <sheetData>
    <row r="1" customHeight="1" spans="1:1">
      <c r="A1" s="3" t="s">
        <v>730</v>
      </c>
    </row>
    <row r="2" s="131" customFormat="1" ht="27" customHeight="1" spans="1:6">
      <c r="A2" s="133" t="s">
        <v>731</v>
      </c>
      <c r="B2" s="133"/>
      <c r="C2" s="133"/>
      <c r="D2" s="133"/>
      <c r="E2" s="133"/>
      <c r="F2" s="133"/>
    </row>
    <row r="3" s="131" customFormat="1" ht="15.75" customHeight="1" spans="1:6">
      <c r="A3" s="134"/>
      <c r="B3" s="134"/>
      <c r="C3" s="134"/>
      <c r="D3" s="134"/>
      <c r="E3" s="135"/>
      <c r="F3" s="136" t="s">
        <v>113</v>
      </c>
    </row>
    <row r="4" s="132" customFormat="1" ht="20" customHeight="1" spans="1:6">
      <c r="A4" s="137" t="s">
        <v>647</v>
      </c>
      <c r="B4" s="137" t="s">
        <v>678</v>
      </c>
      <c r="C4" s="137" t="s">
        <v>679</v>
      </c>
      <c r="D4" s="137" t="s">
        <v>647</v>
      </c>
      <c r="E4" s="137" t="s">
        <v>678</v>
      </c>
      <c r="F4" s="137" t="s">
        <v>679</v>
      </c>
    </row>
    <row r="5" s="131" customFormat="1" ht="20" customHeight="1" spans="1:6">
      <c r="A5" s="138" t="s">
        <v>732</v>
      </c>
      <c r="B5" s="139">
        <v>2135600</v>
      </c>
      <c r="C5" s="139">
        <v>3998074.06</v>
      </c>
      <c r="D5" s="138" t="s">
        <v>733</v>
      </c>
      <c r="E5" s="139">
        <v>2094560</v>
      </c>
      <c r="F5" s="139">
        <v>2221560</v>
      </c>
    </row>
    <row r="6" s="131" customFormat="1" ht="20" customHeight="1" spans="1:6">
      <c r="A6" s="138" t="s">
        <v>684</v>
      </c>
      <c r="B6" s="139">
        <v>0</v>
      </c>
      <c r="C6" s="139">
        <v>0</v>
      </c>
      <c r="D6" s="138" t="s">
        <v>734</v>
      </c>
      <c r="E6" s="139">
        <v>423500</v>
      </c>
      <c r="F6" s="139">
        <v>430615</v>
      </c>
    </row>
    <row r="7" s="131" customFormat="1" ht="20" customHeight="1" spans="1:6">
      <c r="A7" s="138" t="s">
        <v>714</v>
      </c>
      <c r="B7" s="140">
        <v>383200</v>
      </c>
      <c r="C7" s="140">
        <v>385805.04</v>
      </c>
      <c r="D7" s="138" t="s">
        <v>735</v>
      </c>
      <c r="E7" s="139">
        <v>0</v>
      </c>
      <c r="F7" s="139">
        <v>0</v>
      </c>
    </row>
    <row r="8" s="131" customFormat="1" ht="20" customHeight="1" spans="1:6">
      <c r="A8" s="138" t="s">
        <v>715</v>
      </c>
      <c r="B8" s="141">
        <v>95350</v>
      </c>
      <c r="C8" s="141">
        <v>101656.82</v>
      </c>
      <c r="D8" s="138" t="s">
        <v>736</v>
      </c>
      <c r="E8" s="139">
        <v>0</v>
      </c>
      <c r="F8" s="139">
        <v>0</v>
      </c>
    </row>
    <row r="9" s="131" customFormat="1" ht="20" customHeight="1" spans="1:6">
      <c r="A9" s="138" t="s">
        <v>716</v>
      </c>
      <c r="B9" s="142">
        <v>0</v>
      </c>
      <c r="C9" s="142">
        <v>0</v>
      </c>
      <c r="D9" s="138" t="s">
        <v>737</v>
      </c>
      <c r="E9" s="139">
        <v>173516</v>
      </c>
      <c r="F9" s="139">
        <v>195023.44</v>
      </c>
    </row>
    <row r="10" s="131" customFormat="1" ht="20" customHeight="1" spans="1:6">
      <c r="A10" s="138" t="s">
        <v>717</v>
      </c>
      <c r="B10" s="142">
        <v>0</v>
      </c>
      <c r="C10" s="142">
        <v>0</v>
      </c>
      <c r="D10" s="138" t="s">
        <v>738</v>
      </c>
      <c r="E10" s="140">
        <v>1188866</v>
      </c>
      <c r="F10" s="140">
        <v>1256751.08</v>
      </c>
    </row>
    <row r="11" s="131" customFormat="1" ht="20" customHeight="1" spans="1:6">
      <c r="A11" s="143"/>
      <c r="B11" s="141" t="s">
        <v>726</v>
      </c>
      <c r="C11" s="141" t="s">
        <v>726</v>
      </c>
      <c r="D11" s="138" t="s">
        <v>739</v>
      </c>
      <c r="E11" s="144">
        <v>508400</v>
      </c>
      <c r="F11" s="144">
        <v>516600</v>
      </c>
    </row>
    <row r="12" s="131" customFormat="1" ht="20" customHeight="1" spans="1:6">
      <c r="A12" s="145"/>
      <c r="B12" s="141" t="s">
        <v>726</v>
      </c>
      <c r="C12" s="141" t="s">
        <v>726</v>
      </c>
      <c r="D12" s="138" t="s">
        <v>740</v>
      </c>
      <c r="E12" s="141">
        <v>0</v>
      </c>
      <c r="F12" s="141">
        <v>0</v>
      </c>
    </row>
    <row r="13" s="131" customFormat="1" ht="20" customHeight="1" spans="1:6">
      <c r="A13" s="146"/>
      <c r="B13" s="141" t="s">
        <v>726</v>
      </c>
      <c r="C13" s="141" t="s">
        <v>726</v>
      </c>
      <c r="D13" s="138" t="s">
        <v>741</v>
      </c>
      <c r="E13" s="141">
        <v>630000</v>
      </c>
      <c r="F13" s="141">
        <v>630000</v>
      </c>
    </row>
    <row r="14" s="131" customFormat="1" ht="20" customHeight="1" spans="1:6">
      <c r="A14" s="145"/>
      <c r="B14" s="141" t="s">
        <v>726</v>
      </c>
      <c r="C14" s="141" t="s">
        <v>726</v>
      </c>
      <c r="D14" s="138" t="s">
        <v>742</v>
      </c>
      <c r="E14" s="141">
        <v>630000</v>
      </c>
      <c r="F14" s="141">
        <v>630000</v>
      </c>
    </row>
    <row r="15" s="131" customFormat="1" ht="20" customHeight="1" spans="1:6">
      <c r="A15" s="147"/>
      <c r="B15" s="148" t="s">
        <v>726</v>
      </c>
      <c r="C15" s="148" t="s">
        <v>726</v>
      </c>
      <c r="D15" s="138" t="s">
        <v>743</v>
      </c>
      <c r="E15" s="148">
        <v>0</v>
      </c>
      <c r="F15" s="148">
        <v>0</v>
      </c>
    </row>
    <row r="16" s="131" customFormat="1" ht="20" customHeight="1" spans="1:6">
      <c r="A16" s="138" t="s">
        <v>718</v>
      </c>
      <c r="B16" s="149">
        <f>B5+B6+B7+B8+B9</f>
        <v>2614150</v>
      </c>
      <c r="C16" s="149">
        <f>C5+C6+C7+C8+C9</f>
        <v>4485535.92</v>
      </c>
      <c r="D16" s="138" t="s">
        <v>744</v>
      </c>
      <c r="E16" s="149">
        <f>E5+E6+E7+E8+E9+E10+E11+E12+E13</f>
        <v>5018842</v>
      </c>
      <c r="F16" s="149">
        <f>F5+F6+F7+F8+F9+F10+F11+F12+F13</f>
        <v>5250549.52</v>
      </c>
    </row>
    <row r="17" s="131" customFormat="1" ht="20" customHeight="1" spans="1:6">
      <c r="A17" s="138" t="s">
        <v>720</v>
      </c>
      <c r="B17" s="149">
        <v>0</v>
      </c>
      <c r="C17" s="149">
        <v>0</v>
      </c>
      <c r="D17" s="138" t="s">
        <v>745</v>
      </c>
      <c r="E17" s="150">
        <v>0</v>
      </c>
      <c r="F17" s="150">
        <v>0</v>
      </c>
    </row>
    <row r="18" s="131" customFormat="1" ht="20" customHeight="1" spans="1:6">
      <c r="A18" s="138" t="s">
        <v>722</v>
      </c>
      <c r="B18" s="151">
        <v>0</v>
      </c>
      <c r="C18" s="151">
        <v>0</v>
      </c>
      <c r="D18" s="138" t="s">
        <v>746</v>
      </c>
      <c r="E18" s="150">
        <v>200000</v>
      </c>
      <c r="F18" s="150">
        <v>106800</v>
      </c>
    </row>
    <row r="19" s="131" customFormat="1" ht="20" customHeight="1" spans="1:6">
      <c r="A19" s="138" t="s">
        <v>724</v>
      </c>
      <c r="B19" s="152">
        <f t="shared" ref="B19:F19" si="0">B16+B17+B18</f>
        <v>2614150</v>
      </c>
      <c r="C19" s="153">
        <f t="shared" si="0"/>
        <v>4485535.92</v>
      </c>
      <c r="D19" s="138" t="s">
        <v>747</v>
      </c>
      <c r="E19" s="150">
        <f t="shared" si="0"/>
        <v>5218842</v>
      </c>
      <c r="F19" s="150">
        <f t="shared" si="0"/>
        <v>5357349.52</v>
      </c>
    </row>
    <row r="20" s="131" customFormat="1" ht="20" customHeight="1" spans="1:6">
      <c r="A20" s="138"/>
      <c r="B20" s="149" t="s">
        <v>726</v>
      </c>
      <c r="C20" s="149" t="s">
        <v>726</v>
      </c>
      <c r="D20" s="138" t="s">
        <v>748</v>
      </c>
      <c r="E20" s="150">
        <f>B19-E19</f>
        <v>-2604692</v>
      </c>
      <c r="F20" s="150">
        <f>C19-F19</f>
        <v>-871813.6</v>
      </c>
    </row>
    <row r="21" s="131" customFormat="1" ht="20" customHeight="1" spans="1:6">
      <c r="A21" s="138" t="s">
        <v>728</v>
      </c>
      <c r="B21" s="149">
        <v>16565516.99</v>
      </c>
      <c r="C21" s="149">
        <f>E21</f>
        <v>13960824.99</v>
      </c>
      <c r="D21" s="138" t="s">
        <v>749</v>
      </c>
      <c r="E21" s="149">
        <f>B21+E20</f>
        <v>13960824.99</v>
      </c>
      <c r="F21" s="149">
        <f>C21+F20</f>
        <v>13089011.39</v>
      </c>
    </row>
    <row r="22" s="132" customFormat="1" ht="20" customHeight="1" spans="1:6">
      <c r="A22" s="137" t="s">
        <v>706</v>
      </c>
      <c r="B22" s="154">
        <f t="shared" ref="B22:F22" si="1">B19+B21</f>
        <v>19179666.99</v>
      </c>
      <c r="C22" s="154">
        <f t="shared" si="1"/>
        <v>18446360.91</v>
      </c>
      <c r="D22" s="137" t="s">
        <v>706</v>
      </c>
      <c r="E22" s="154">
        <f t="shared" si="1"/>
        <v>19179666.99</v>
      </c>
      <c r="F22" s="154">
        <f t="shared" si="1"/>
        <v>18446360.91</v>
      </c>
    </row>
  </sheetData>
  <mergeCells count="1024">
    <mergeCell ref="A2:F2"/>
    <mergeCell ref="IW2:JB2"/>
    <mergeCell ref="SS2:SX2"/>
    <mergeCell ref="ACO2:ACT2"/>
    <mergeCell ref="AMK2:AMP2"/>
    <mergeCell ref="AWG2:AWL2"/>
    <mergeCell ref="BGC2:BGH2"/>
    <mergeCell ref="BPY2:BQD2"/>
    <mergeCell ref="BZU2:BZZ2"/>
    <mergeCell ref="CJQ2:CJV2"/>
    <mergeCell ref="CTM2:CTR2"/>
    <mergeCell ref="DDI2:DDN2"/>
    <mergeCell ref="DNE2:DNJ2"/>
    <mergeCell ref="DXA2:DXF2"/>
    <mergeCell ref="EGW2:EHB2"/>
    <mergeCell ref="EQS2:EQX2"/>
    <mergeCell ref="FAO2:FAT2"/>
    <mergeCell ref="FKK2:FKP2"/>
    <mergeCell ref="FUG2:FUL2"/>
    <mergeCell ref="GEC2:GEH2"/>
    <mergeCell ref="GNY2:GOD2"/>
    <mergeCell ref="GXU2:GXZ2"/>
    <mergeCell ref="HHQ2:HHV2"/>
    <mergeCell ref="HRM2:HRR2"/>
    <mergeCell ref="IBI2:IBN2"/>
    <mergeCell ref="ILE2:ILJ2"/>
    <mergeCell ref="IVA2:IVF2"/>
    <mergeCell ref="JEW2:JFB2"/>
    <mergeCell ref="JOS2:JOX2"/>
    <mergeCell ref="JYO2:JYT2"/>
    <mergeCell ref="KIK2:KIP2"/>
    <mergeCell ref="KSG2:KSL2"/>
    <mergeCell ref="LCC2:LCH2"/>
    <mergeCell ref="LLY2:LMD2"/>
    <mergeCell ref="LVU2:LVZ2"/>
    <mergeCell ref="MFQ2:MFV2"/>
    <mergeCell ref="MPM2:MPR2"/>
    <mergeCell ref="MZI2:MZN2"/>
    <mergeCell ref="NJE2:NJJ2"/>
    <mergeCell ref="NTA2:NTF2"/>
    <mergeCell ref="OCW2:ODB2"/>
    <mergeCell ref="OMS2:OMX2"/>
    <mergeCell ref="OWO2:OWT2"/>
    <mergeCell ref="PGK2:PGP2"/>
    <mergeCell ref="PQG2:PQL2"/>
    <mergeCell ref="QAC2:QAH2"/>
    <mergeCell ref="QJY2:QKD2"/>
    <mergeCell ref="QTU2:QTZ2"/>
    <mergeCell ref="RDQ2:RDV2"/>
    <mergeCell ref="RNM2:RNR2"/>
    <mergeCell ref="RXI2:RXN2"/>
    <mergeCell ref="SHE2:SHJ2"/>
    <mergeCell ref="SRA2:SRF2"/>
    <mergeCell ref="TAW2:TBB2"/>
    <mergeCell ref="TKS2:TKX2"/>
    <mergeCell ref="TUO2:TUT2"/>
    <mergeCell ref="UEK2:UEP2"/>
    <mergeCell ref="UOG2:UOL2"/>
    <mergeCell ref="UYC2:UYH2"/>
    <mergeCell ref="VHY2:VID2"/>
    <mergeCell ref="VRU2:VRZ2"/>
    <mergeCell ref="WBQ2:WBV2"/>
    <mergeCell ref="WLM2:WLR2"/>
    <mergeCell ref="WVI2:WVN2"/>
    <mergeCell ref="A65538:F65538"/>
    <mergeCell ref="IW65538:JB65538"/>
    <mergeCell ref="SS65538:SX65538"/>
    <mergeCell ref="ACO65538:ACT65538"/>
    <mergeCell ref="AMK65538:AMP65538"/>
    <mergeCell ref="AWG65538:AWL65538"/>
    <mergeCell ref="BGC65538:BGH65538"/>
    <mergeCell ref="BPY65538:BQD65538"/>
    <mergeCell ref="BZU65538:BZZ65538"/>
    <mergeCell ref="CJQ65538:CJV65538"/>
    <mergeCell ref="CTM65538:CTR65538"/>
    <mergeCell ref="DDI65538:DDN65538"/>
    <mergeCell ref="DNE65538:DNJ65538"/>
    <mergeCell ref="DXA65538:DXF65538"/>
    <mergeCell ref="EGW65538:EHB65538"/>
    <mergeCell ref="EQS65538:EQX65538"/>
    <mergeCell ref="FAO65538:FAT65538"/>
    <mergeCell ref="FKK65538:FKP65538"/>
    <mergeCell ref="FUG65538:FUL65538"/>
    <mergeCell ref="GEC65538:GEH65538"/>
    <mergeCell ref="GNY65538:GOD65538"/>
    <mergeCell ref="GXU65538:GXZ65538"/>
    <mergeCell ref="HHQ65538:HHV65538"/>
    <mergeCell ref="HRM65538:HRR65538"/>
    <mergeCell ref="IBI65538:IBN65538"/>
    <mergeCell ref="ILE65538:ILJ65538"/>
    <mergeCell ref="IVA65538:IVF65538"/>
    <mergeCell ref="JEW65538:JFB65538"/>
    <mergeCell ref="JOS65538:JOX65538"/>
    <mergeCell ref="JYO65538:JYT65538"/>
    <mergeCell ref="KIK65538:KIP65538"/>
    <mergeCell ref="KSG65538:KSL65538"/>
    <mergeCell ref="LCC65538:LCH65538"/>
    <mergeCell ref="LLY65538:LMD65538"/>
    <mergeCell ref="LVU65538:LVZ65538"/>
    <mergeCell ref="MFQ65538:MFV65538"/>
    <mergeCell ref="MPM65538:MPR65538"/>
    <mergeCell ref="MZI65538:MZN65538"/>
    <mergeCell ref="NJE65538:NJJ65538"/>
    <mergeCell ref="NTA65538:NTF65538"/>
    <mergeCell ref="OCW65538:ODB65538"/>
    <mergeCell ref="OMS65538:OMX65538"/>
    <mergeCell ref="OWO65538:OWT65538"/>
    <mergeCell ref="PGK65538:PGP65538"/>
    <mergeCell ref="PQG65538:PQL65538"/>
    <mergeCell ref="QAC65538:QAH65538"/>
    <mergeCell ref="QJY65538:QKD65538"/>
    <mergeCell ref="QTU65538:QTZ65538"/>
    <mergeCell ref="RDQ65538:RDV65538"/>
    <mergeCell ref="RNM65538:RNR65538"/>
    <mergeCell ref="RXI65538:RXN65538"/>
    <mergeCell ref="SHE65538:SHJ65538"/>
    <mergeCell ref="SRA65538:SRF65538"/>
    <mergeCell ref="TAW65538:TBB65538"/>
    <mergeCell ref="TKS65538:TKX65538"/>
    <mergeCell ref="TUO65538:TUT65538"/>
    <mergeCell ref="UEK65538:UEP65538"/>
    <mergeCell ref="UOG65538:UOL65538"/>
    <mergeCell ref="UYC65538:UYH65538"/>
    <mergeCell ref="VHY65538:VID65538"/>
    <mergeCell ref="VRU65538:VRZ65538"/>
    <mergeCell ref="WBQ65538:WBV65538"/>
    <mergeCell ref="WLM65538:WLR65538"/>
    <mergeCell ref="WVI65538:WVN65538"/>
    <mergeCell ref="A131074:F131074"/>
    <mergeCell ref="IW131074:JB131074"/>
    <mergeCell ref="SS131074:SX131074"/>
    <mergeCell ref="ACO131074:ACT131074"/>
    <mergeCell ref="AMK131074:AMP131074"/>
    <mergeCell ref="AWG131074:AWL131074"/>
    <mergeCell ref="BGC131074:BGH131074"/>
    <mergeCell ref="BPY131074:BQD131074"/>
    <mergeCell ref="BZU131074:BZZ131074"/>
    <mergeCell ref="CJQ131074:CJV131074"/>
    <mergeCell ref="CTM131074:CTR131074"/>
    <mergeCell ref="DDI131074:DDN131074"/>
    <mergeCell ref="DNE131074:DNJ131074"/>
    <mergeCell ref="DXA131074:DXF131074"/>
    <mergeCell ref="EGW131074:EHB131074"/>
    <mergeCell ref="EQS131074:EQX131074"/>
    <mergeCell ref="FAO131074:FAT131074"/>
    <mergeCell ref="FKK131074:FKP131074"/>
    <mergeCell ref="FUG131074:FUL131074"/>
    <mergeCell ref="GEC131074:GEH131074"/>
    <mergeCell ref="GNY131074:GOD131074"/>
    <mergeCell ref="GXU131074:GXZ131074"/>
    <mergeCell ref="HHQ131074:HHV131074"/>
    <mergeCell ref="HRM131074:HRR131074"/>
    <mergeCell ref="IBI131074:IBN131074"/>
    <mergeCell ref="ILE131074:ILJ131074"/>
    <mergeCell ref="IVA131074:IVF131074"/>
    <mergeCell ref="JEW131074:JFB131074"/>
    <mergeCell ref="JOS131074:JOX131074"/>
    <mergeCell ref="JYO131074:JYT131074"/>
    <mergeCell ref="KIK131074:KIP131074"/>
    <mergeCell ref="KSG131074:KSL131074"/>
    <mergeCell ref="LCC131074:LCH131074"/>
    <mergeCell ref="LLY131074:LMD131074"/>
    <mergeCell ref="LVU131074:LVZ131074"/>
    <mergeCell ref="MFQ131074:MFV131074"/>
    <mergeCell ref="MPM131074:MPR131074"/>
    <mergeCell ref="MZI131074:MZN131074"/>
    <mergeCell ref="NJE131074:NJJ131074"/>
    <mergeCell ref="NTA131074:NTF131074"/>
    <mergeCell ref="OCW131074:ODB131074"/>
    <mergeCell ref="OMS131074:OMX131074"/>
    <mergeCell ref="OWO131074:OWT131074"/>
    <mergeCell ref="PGK131074:PGP131074"/>
    <mergeCell ref="PQG131074:PQL131074"/>
    <mergeCell ref="QAC131074:QAH131074"/>
    <mergeCell ref="QJY131074:QKD131074"/>
    <mergeCell ref="QTU131074:QTZ131074"/>
    <mergeCell ref="RDQ131074:RDV131074"/>
    <mergeCell ref="RNM131074:RNR131074"/>
    <mergeCell ref="RXI131074:RXN131074"/>
    <mergeCell ref="SHE131074:SHJ131074"/>
    <mergeCell ref="SRA131074:SRF131074"/>
    <mergeCell ref="TAW131074:TBB131074"/>
    <mergeCell ref="TKS131074:TKX131074"/>
    <mergeCell ref="TUO131074:TUT131074"/>
    <mergeCell ref="UEK131074:UEP131074"/>
    <mergeCell ref="UOG131074:UOL131074"/>
    <mergeCell ref="UYC131074:UYH131074"/>
    <mergeCell ref="VHY131074:VID131074"/>
    <mergeCell ref="VRU131074:VRZ131074"/>
    <mergeCell ref="WBQ131074:WBV131074"/>
    <mergeCell ref="WLM131074:WLR131074"/>
    <mergeCell ref="WVI131074:WVN131074"/>
    <mergeCell ref="A196610:F196610"/>
    <mergeCell ref="IW196610:JB196610"/>
    <mergeCell ref="SS196610:SX196610"/>
    <mergeCell ref="ACO196610:ACT196610"/>
    <mergeCell ref="AMK196610:AMP196610"/>
    <mergeCell ref="AWG196610:AWL196610"/>
    <mergeCell ref="BGC196610:BGH196610"/>
    <mergeCell ref="BPY196610:BQD196610"/>
    <mergeCell ref="BZU196610:BZZ196610"/>
    <mergeCell ref="CJQ196610:CJV196610"/>
    <mergeCell ref="CTM196610:CTR196610"/>
    <mergeCell ref="DDI196610:DDN196610"/>
    <mergeCell ref="DNE196610:DNJ196610"/>
    <mergeCell ref="DXA196610:DXF196610"/>
    <mergeCell ref="EGW196610:EHB196610"/>
    <mergeCell ref="EQS196610:EQX196610"/>
    <mergeCell ref="FAO196610:FAT196610"/>
    <mergeCell ref="FKK196610:FKP196610"/>
    <mergeCell ref="FUG196610:FUL196610"/>
    <mergeCell ref="GEC196610:GEH196610"/>
    <mergeCell ref="GNY196610:GOD196610"/>
    <mergeCell ref="GXU196610:GXZ196610"/>
    <mergeCell ref="HHQ196610:HHV196610"/>
    <mergeCell ref="HRM196610:HRR196610"/>
    <mergeCell ref="IBI196610:IBN196610"/>
    <mergeCell ref="ILE196610:ILJ196610"/>
    <mergeCell ref="IVA196610:IVF196610"/>
    <mergeCell ref="JEW196610:JFB196610"/>
    <mergeCell ref="JOS196610:JOX196610"/>
    <mergeCell ref="JYO196610:JYT196610"/>
    <mergeCell ref="KIK196610:KIP196610"/>
    <mergeCell ref="KSG196610:KSL196610"/>
    <mergeCell ref="LCC196610:LCH196610"/>
    <mergeCell ref="LLY196610:LMD196610"/>
    <mergeCell ref="LVU196610:LVZ196610"/>
    <mergeCell ref="MFQ196610:MFV196610"/>
    <mergeCell ref="MPM196610:MPR196610"/>
    <mergeCell ref="MZI196610:MZN196610"/>
    <mergeCell ref="NJE196610:NJJ196610"/>
    <mergeCell ref="NTA196610:NTF196610"/>
    <mergeCell ref="OCW196610:ODB196610"/>
    <mergeCell ref="OMS196610:OMX196610"/>
    <mergeCell ref="OWO196610:OWT196610"/>
    <mergeCell ref="PGK196610:PGP196610"/>
    <mergeCell ref="PQG196610:PQL196610"/>
    <mergeCell ref="QAC196610:QAH196610"/>
    <mergeCell ref="QJY196610:QKD196610"/>
    <mergeCell ref="QTU196610:QTZ196610"/>
    <mergeCell ref="RDQ196610:RDV196610"/>
    <mergeCell ref="RNM196610:RNR196610"/>
    <mergeCell ref="RXI196610:RXN196610"/>
    <mergeCell ref="SHE196610:SHJ196610"/>
    <mergeCell ref="SRA196610:SRF196610"/>
    <mergeCell ref="TAW196610:TBB196610"/>
    <mergeCell ref="TKS196610:TKX196610"/>
    <mergeCell ref="TUO196610:TUT196610"/>
    <mergeCell ref="UEK196610:UEP196610"/>
    <mergeCell ref="UOG196610:UOL196610"/>
    <mergeCell ref="UYC196610:UYH196610"/>
    <mergeCell ref="VHY196610:VID196610"/>
    <mergeCell ref="VRU196610:VRZ196610"/>
    <mergeCell ref="WBQ196610:WBV196610"/>
    <mergeCell ref="WLM196610:WLR196610"/>
    <mergeCell ref="WVI196610:WVN196610"/>
    <mergeCell ref="A262146:F262146"/>
    <mergeCell ref="IW262146:JB262146"/>
    <mergeCell ref="SS262146:SX262146"/>
    <mergeCell ref="ACO262146:ACT262146"/>
    <mergeCell ref="AMK262146:AMP262146"/>
    <mergeCell ref="AWG262146:AWL262146"/>
    <mergeCell ref="BGC262146:BGH262146"/>
    <mergeCell ref="BPY262146:BQD262146"/>
    <mergeCell ref="BZU262146:BZZ262146"/>
    <mergeCell ref="CJQ262146:CJV262146"/>
    <mergeCell ref="CTM262146:CTR262146"/>
    <mergeCell ref="DDI262146:DDN262146"/>
    <mergeCell ref="DNE262146:DNJ262146"/>
    <mergeCell ref="DXA262146:DXF262146"/>
    <mergeCell ref="EGW262146:EHB262146"/>
    <mergeCell ref="EQS262146:EQX262146"/>
    <mergeCell ref="FAO262146:FAT262146"/>
    <mergeCell ref="FKK262146:FKP262146"/>
    <mergeCell ref="FUG262146:FUL262146"/>
    <mergeCell ref="GEC262146:GEH262146"/>
    <mergeCell ref="GNY262146:GOD262146"/>
    <mergeCell ref="GXU262146:GXZ262146"/>
    <mergeCell ref="HHQ262146:HHV262146"/>
    <mergeCell ref="HRM262146:HRR262146"/>
    <mergeCell ref="IBI262146:IBN262146"/>
    <mergeCell ref="ILE262146:ILJ262146"/>
    <mergeCell ref="IVA262146:IVF262146"/>
    <mergeCell ref="JEW262146:JFB262146"/>
    <mergeCell ref="JOS262146:JOX262146"/>
    <mergeCell ref="JYO262146:JYT262146"/>
    <mergeCell ref="KIK262146:KIP262146"/>
    <mergeCell ref="KSG262146:KSL262146"/>
    <mergeCell ref="LCC262146:LCH262146"/>
    <mergeCell ref="LLY262146:LMD262146"/>
    <mergeCell ref="LVU262146:LVZ262146"/>
    <mergeCell ref="MFQ262146:MFV262146"/>
    <mergeCell ref="MPM262146:MPR262146"/>
    <mergeCell ref="MZI262146:MZN262146"/>
    <mergeCell ref="NJE262146:NJJ262146"/>
    <mergeCell ref="NTA262146:NTF262146"/>
    <mergeCell ref="OCW262146:ODB262146"/>
    <mergeCell ref="OMS262146:OMX262146"/>
    <mergeCell ref="OWO262146:OWT262146"/>
    <mergeCell ref="PGK262146:PGP262146"/>
    <mergeCell ref="PQG262146:PQL262146"/>
    <mergeCell ref="QAC262146:QAH262146"/>
    <mergeCell ref="QJY262146:QKD262146"/>
    <mergeCell ref="QTU262146:QTZ262146"/>
    <mergeCell ref="RDQ262146:RDV262146"/>
    <mergeCell ref="RNM262146:RNR262146"/>
    <mergeCell ref="RXI262146:RXN262146"/>
    <mergeCell ref="SHE262146:SHJ262146"/>
    <mergeCell ref="SRA262146:SRF262146"/>
    <mergeCell ref="TAW262146:TBB262146"/>
    <mergeCell ref="TKS262146:TKX262146"/>
    <mergeCell ref="TUO262146:TUT262146"/>
    <mergeCell ref="UEK262146:UEP262146"/>
    <mergeCell ref="UOG262146:UOL262146"/>
    <mergeCell ref="UYC262146:UYH262146"/>
    <mergeCell ref="VHY262146:VID262146"/>
    <mergeCell ref="VRU262146:VRZ262146"/>
    <mergeCell ref="WBQ262146:WBV262146"/>
    <mergeCell ref="WLM262146:WLR262146"/>
    <mergeCell ref="WVI262146:WVN262146"/>
    <mergeCell ref="A327682:F327682"/>
    <mergeCell ref="IW327682:JB327682"/>
    <mergeCell ref="SS327682:SX327682"/>
    <mergeCell ref="ACO327682:ACT327682"/>
    <mergeCell ref="AMK327682:AMP327682"/>
    <mergeCell ref="AWG327682:AWL327682"/>
    <mergeCell ref="BGC327682:BGH327682"/>
    <mergeCell ref="BPY327682:BQD327682"/>
    <mergeCell ref="BZU327682:BZZ327682"/>
    <mergeCell ref="CJQ327682:CJV327682"/>
    <mergeCell ref="CTM327682:CTR327682"/>
    <mergeCell ref="DDI327682:DDN327682"/>
    <mergeCell ref="DNE327682:DNJ327682"/>
    <mergeCell ref="DXA327682:DXF327682"/>
    <mergeCell ref="EGW327682:EHB327682"/>
    <mergeCell ref="EQS327682:EQX327682"/>
    <mergeCell ref="FAO327682:FAT327682"/>
    <mergeCell ref="FKK327682:FKP327682"/>
    <mergeCell ref="FUG327682:FUL327682"/>
    <mergeCell ref="GEC327682:GEH327682"/>
    <mergeCell ref="GNY327682:GOD327682"/>
    <mergeCell ref="GXU327682:GXZ327682"/>
    <mergeCell ref="HHQ327682:HHV327682"/>
    <mergeCell ref="HRM327682:HRR327682"/>
    <mergeCell ref="IBI327682:IBN327682"/>
    <mergeCell ref="ILE327682:ILJ327682"/>
    <mergeCell ref="IVA327682:IVF327682"/>
    <mergeCell ref="JEW327682:JFB327682"/>
    <mergeCell ref="JOS327682:JOX327682"/>
    <mergeCell ref="JYO327682:JYT327682"/>
    <mergeCell ref="KIK327682:KIP327682"/>
    <mergeCell ref="KSG327682:KSL327682"/>
    <mergeCell ref="LCC327682:LCH327682"/>
    <mergeCell ref="LLY327682:LMD327682"/>
    <mergeCell ref="LVU327682:LVZ327682"/>
    <mergeCell ref="MFQ327682:MFV327682"/>
    <mergeCell ref="MPM327682:MPR327682"/>
    <mergeCell ref="MZI327682:MZN327682"/>
    <mergeCell ref="NJE327682:NJJ327682"/>
    <mergeCell ref="NTA327682:NTF327682"/>
    <mergeCell ref="OCW327682:ODB327682"/>
    <mergeCell ref="OMS327682:OMX327682"/>
    <mergeCell ref="OWO327682:OWT327682"/>
    <mergeCell ref="PGK327682:PGP327682"/>
    <mergeCell ref="PQG327682:PQL327682"/>
    <mergeCell ref="QAC327682:QAH327682"/>
    <mergeCell ref="QJY327682:QKD327682"/>
    <mergeCell ref="QTU327682:QTZ327682"/>
    <mergeCell ref="RDQ327682:RDV327682"/>
    <mergeCell ref="RNM327682:RNR327682"/>
    <mergeCell ref="RXI327682:RXN327682"/>
    <mergeCell ref="SHE327682:SHJ327682"/>
    <mergeCell ref="SRA327682:SRF327682"/>
    <mergeCell ref="TAW327682:TBB327682"/>
    <mergeCell ref="TKS327682:TKX327682"/>
    <mergeCell ref="TUO327682:TUT327682"/>
    <mergeCell ref="UEK327682:UEP327682"/>
    <mergeCell ref="UOG327682:UOL327682"/>
    <mergeCell ref="UYC327682:UYH327682"/>
    <mergeCell ref="VHY327682:VID327682"/>
    <mergeCell ref="VRU327682:VRZ327682"/>
    <mergeCell ref="WBQ327682:WBV327682"/>
    <mergeCell ref="WLM327682:WLR327682"/>
    <mergeCell ref="WVI327682:WVN327682"/>
    <mergeCell ref="A393218:F393218"/>
    <mergeCell ref="IW393218:JB393218"/>
    <mergeCell ref="SS393218:SX393218"/>
    <mergeCell ref="ACO393218:ACT393218"/>
    <mergeCell ref="AMK393218:AMP393218"/>
    <mergeCell ref="AWG393218:AWL393218"/>
    <mergeCell ref="BGC393218:BGH393218"/>
    <mergeCell ref="BPY393218:BQD393218"/>
    <mergeCell ref="BZU393218:BZZ393218"/>
    <mergeCell ref="CJQ393218:CJV393218"/>
    <mergeCell ref="CTM393218:CTR393218"/>
    <mergeCell ref="DDI393218:DDN393218"/>
    <mergeCell ref="DNE393218:DNJ393218"/>
    <mergeCell ref="DXA393218:DXF393218"/>
    <mergeCell ref="EGW393218:EHB393218"/>
    <mergeCell ref="EQS393218:EQX393218"/>
    <mergeCell ref="FAO393218:FAT393218"/>
    <mergeCell ref="FKK393218:FKP393218"/>
    <mergeCell ref="FUG393218:FUL393218"/>
    <mergeCell ref="GEC393218:GEH393218"/>
    <mergeCell ref="GNY393218:GOD393218"/>
    <mergeCell ref="GXU393218:GXZ393218"/>
    <mergeCell ref="HHQ393218:HHV393218"/>
    <mergeCell ref="HRM393218:HRR393218"/>
    <mergeCell ref="IBI393218:IBN393218"/>
    <mergeCell ref="ILE393218:ILJ393218"/>
    <mergeCell ref="IVA393218:IVF393218"/>
    <mergeCell ref="JEW393218:JFB393218"/>
    <mergeCell ref="JOS393218:JOX393218"/>
    <mergeCell ref="JYO393218:JYT393218"/>
    <mergeCell ref="KIK393218:KIP393218"/>
    <mergeCell ref="KSG393218:KSL393218"/>
    <mergeCell ref="LCC393218:LCH393218"/>
    <mergeCell ref="LLY393218:LMD393218"/>
    <mergeCell ref="LVU393218:LVZ393218"/>
    <mergeCell ref="MFQ393218:MFV393218"/>
    <mergeCell ref="MPM393218:MPR393218"/>
    <mergeCell ref="MZI393218:MZN393218"/>
    <mergeCell ref="NJE393218:NJJ393218"/>
    <mergeCell ref="NTA393218:NTF393218"/>
    <mergeCell ref="OCW393218:ODB393218"/>
    <mergeCell ref="OMS393218:OMX393218"/>
    <mergeCell ref="OWO393218:OWT393218"/>
    <mergeCell ref="PGK393218:PGP393218"/>
    <mergeCell ref="PQG393218:PQL393218"/>
    <mergeCell ref="QAC393218:QAH393218"/>
    <mergeCell ref="QJY393218:QKD393218"/>
    <mergeCell ref="QTU393218:QTZ393218"/>
    <mergeCell ref="RDQ393218:RDV393218"/>
    <mergeCell ref="RNM393218:RNR393218"/>
    <mergeCell ref="RXI393218:RXN393218"/>
    <mergeCell ref="SHE393218:SHJ393218"/>
    <mergeCell ref="SRA393218:SRF393218"/>
    <mergeCell ref="TAW393218:TBB393218"/>
    <mergeCell ref="TKS393218:TKX393218"/>
    <mergeCell ref="TUO393218:TUT393218"/>
    <mergeCell ref="UEK393218:UEP393218"/>
    <mergeCell ref="UOG393218:UOL393218"/>
    <mergeCell ref="UYC393218:UYH393218"/>
    <mergeCell ref="VHY393218:VID393218"/>
    <mergeCell ref="VRU393218:VRZ393218"/>
    <mergeCell ref="WBQ393218:WBV393218"/>
    <mergeCell ref="WLM393218:WLR393218"/>
    <mergeCell ref="WVI393218:WVN393218"/>
    <mergeCell ref="A458754:F458754"/>
    <mergeCell ref="IW458754:JB458754"/>
    <mergeCell ref="SS458754:SX458754"/>
    <mergeCell ref="ACO458754:ACT458754"/>
    <mergeCell ref="AMK458754:AMP458754"/>
    <mergeCell ref="AWG458754:AWL458754"/>
    <mergeCell ref="BGC458754:BGH458754"/>
    <mergeCell ref="BPY458754:BQD458754"/>
    <mergeCell ref="BZU458754:BZZ458754"/>
    <mergeCell ref="CJQ458754:CJV458754"/>
    <mergeCell ref="CTM458754:CTR458754"/>
    <mergeCell ref="DDI458754:DDN458754"/>
    <mergeCell ref="DNE458754:DNJ458754"/>
    <mergeCell ref="DXA458754:DXF458754"/>
    <mergeCell ref="EGW458754:EHB458754"/>
    <mergeCell ref="EQS458754:EQX458754"/>
    <mergeCell ref="FAO458754:FAT458754"/>
    <mergeCell ref="FKK458754:FKP458754"/>
    <mergeCell ref="FUG458754:FUL458754"/>
    <mergeCell ref="GEC458754:GEH458754"/>
    <mergeCell ref="GNY458754:GOD458754"/>
    <mergeCell ref="GXU458754:GXZ458754"/>
    <mergeCell ref="HHQ458754:HHV458754"/>
    <mergeCell ref="HRM458754:HRR458754"/>
    <mergeCell ref="IBI458754:IBN458754"/>
    <mergeCell ref="ILE458754:ILJ458754"/>
    <mergeCell ref="IVA458754:IVF458754"/>
    <mergeCell ref="JEW458754:JFB458754"/>
    <mergeCell ref="JOS458754:JOX458754"/>
    <mergeCell ref="JYO458754:JYT458754"/>
    <mergeCell ref="KIK458754:KIP458754"/>
    <mergeCell ref="KSG458754:KSL458754"/>
    <mergeCell ref="LCC458754:LCH458754"/>
    <mergeCell ref="LLY458754:LMD458754"/>
    <mergeCell ref="LVU458754:LVZ458754"/>
    <mergeCell ref="MFQ458754:MFV458754"/>
    <mergeCell ref="MPM458754:MPR458754"/>
    <mergeCell ref="MZI458754:MZN458754"/>
    <mergeCell ref="NJE458754:NJJ458754"/>
    <mergeCell ref="NTA458754:NTF458754"/>
    <mergeCell ref="OCW458754:ODB458754"/>
    <mergeCell ref="OMS458754:OMX458754"/>
    <mergeCell ref="OWO458754:OWT458754"/>
    <mergeCell ref="PGK458754:PGP458754"/>
    <mergeCell ref="PQG458754:PQL458754"/>
    <mergeCell ref="QAC458754:QAH458754"/>
    <mergeCell ref="QJY458754:QKD458754"/>
    <mergeCell ref="QTU458754:QTZ458754"/>
    <mergeCell ref="RDQ458754:RDV458754"/>
    <mergeCell ref="RNM458754:RNR458754"/>
    <mergeCell ref="RXI458754:RXN458754"/>
    <mergeCell ref="SHE458754:SHJ458754"/>
    <mergeCell ref="SRA458754:SRF458754"/>
    <mergeCell ref="TAW458754:TBB458754"/>
    <mergeCell ref="TKS458754:TKX458754"/>
    <mergeCell ref="TUO458754:TUT458754"/>
    <mergeCell ref="UEK458754:UEP458754"/>
    <mergeCell ref="UOG458754:UOL458754"/>
    <mergeCell ref="UYC458754:UYH458754"/>
    <mergeCell ref="VHY458754:VID458754"/>
    <mergeCell ref="VRU458754:VRZ458754"/>
    <mergeCell ref="WBQ458754:WBV458754"/>
    <mergeCell ref="WLM458754:WLR458754"/>
    <mergeCell ref="WVI458754:WVN458754"/>
    <mergeCell ref="A524290:F524290"/>
    <mergeCell ref="IW524290:JB524290"/>
    <mergeCell ref="SS524290:SX524290"/>
    <mergeCell ref="ACO524290:ACT524290"/>
    <mergeCell ref="AMK524290:AMP524290"/>
    <mergeCell ref="AWG524290:AWL524290"/>
    <mergeCell ref="BGC524290:BGH524290"/>
    <mergeCell ref="BPY524290:BQD524290"/>
    <mergeCell ref="BZU524290:BZZ524290"/>
    <mergeCell ref="CJQ524290:CJV524290"/>
    <mergeCell ref="CTM524290:CTR524290"/>
    <mergeCell ref="DDI524290:DDN524290"/>
    <mergeCell ref="DNE524290:DNJ524290"/>
    <mergeCell ref="DXA524290:DXF524290"/>
    <mergeCell ref="EGW524290:EHB524290"/>
    <mergeCell ref="EQS524290:EQX524290"/>
    <mergeCell ref="FAO524290:FAT524290"/>
    <mergeCell ref="FKK524290:FKP524290"/>
    <mergeCell ref="FUG524290:FUL524290"/>
    <mergeCell ref="GEC524290:GEH524290"/>
    <mergeCell ref="GNY524290:GOD524290"/>
    <mergeCell ref="GXU524290:GXZ524290"/>
    <mergeCell ref="HHQ524290:HHV524290"/>
    <mergeCell ref="HRM524290:HRR524290"/>
    <mergeCell ref="IBI524290:IBN524290"/>
    <mergeCell ref="ILE524290:ILJ524290"/>
    <mergeCell ref="IVA524290:IVF524290"/>
    <mergeCell ref="JEW524290:JFB524290"/>
    <mergeCell ref="JOS524290:JOX524290"/>
    <mergeCell ref="JYO524290:JYT524290"/>
    <mergeCell ref="KIK524290:KIP524290"/>
    <mergeCell ref="KSG524290:KSL524290"/>
    <mergeCell ref="LCC524290:LCH524290"/>
    <mergeCell ref="LLY524290:LMD524290"/>
    <mergeCell ref="LVU524290:LVZ524290"/>
    <mergeCell ref="MFQ524290:MFV524290"/>
    <mergeCell ref="MPM524290:MPR524290"/>
    <mergeCell ref="MZI524290:MZN524290"/>
    <mergeCell ref="NJE524290:NJJ524290"/>
    <mergeCell ref="NTA524290:NTF524290"/>
    <mergeCell ref="OCW524290:ODB524290"/>
    <mergeCell ref="OMS524290:OMX524290"/>
    <mergeCell ref="OWO524290:OWT524290"/>
    <mergeCell ref="PGK524290:PGP524290"/>
    <mergeCell ref="PQG524290:PQL524290"/>
    <mergeCell ref="QAC524290:QAH524290"/>
    <mergeCell ref="QJY524290:QKD524290"/>
    <mergeCell ref="QTU524290:QTZ524290"/>
    <mergeCell ref="RDQ524290:RDV524290"/>
    <mergeCell ref="RNM524290:RNR524290"/>
    <mergeCell ref="RXI524290:RXN524290"/>
    <mergeCell ref="SHE524290:SHJ524290"/>
    <mergeCell ref="SRA524290:SRF524290"/>
    <mergeCell ref="TAW524290:TBB524290"/>
    <mergeCell ref="TKS524290:TKX524290"/>
    <mergeCell ref="TUO524290:TUT524290"/>
    <mergeCell ref="UEK524290:UEP524290"/>
    <mergeCell ref="UOG524290:UOL524290"/>
    <mergeCell ref="UYC524290:UYH524290"/>
    <mergeCell ref="VHY524290:VID524290"/>
    <mergeCell ref="VRU524290:VRZ524290"/>
    <mergeCell ref="WBQ524290:WBV524290"/>
    <mergeCell ref="WLM524290:WLR524290"/>
    <mergeCell ref="WVI524290:WVN524290"/>
    <mergeCell ref="A589826:F589826"/>
    <mergeCell ref="IW589826:JB589826"/>
    <mergeCell ref="SS589826:SX589826"/>
    <mergeCell ref="ACO589826:ACT589826"/>
    <mergeCell ref="AMK589826:AMP589826"/>
    <mergeCell ref="AWG589826:AWL589826"/>
    <mergeCell ref="BGC589826:BGH589826"/>
    <mergeCell ref="BPY589826:BQD589826"/>
    <mergeCell ref="BZU589826:BZZ589826"/>
    <mergeCell ref="CJQ589826:CJV589826"/>
    <mergeCell ref="CTM589826:CTR589826"/>
    <mergeCell ref="DDI589826:DDN589826"/>
    <mergeCell ref="DNE589826:DNJ589826"/>
    <mergeCell ref="DXA589826:DXF589826"/>
    <mergeCell ref="EGW589826:EHB589826"/>
    <mergeCell ref="EQS589826:EQX589826"/>
    <mergeCell ref="FAO589826:FAT589826"/>
    <mergeCell ref="FKK589826:FKP589826"/>
    <mergeCell ref="FUG589826:FUL589826"/>
    <mergeCell ref="GEC589826:GEH589826"/>
    <mergeCell ref="GNY589826:GOD589826"/>
    <mergeCell ref="GXU589826:GXZ589826"/>
    <mergeCell ref="HHQ589826:HHV589826"/>
    <mergeCell ref="HRM589826:HRR589826"/>
    <mergeCell ref="IBI589826:IBN589826"/>
    <mergeCell ref="ILE589826:ILJ589826"/>
    <mergeCell ref="IVA589826:IVF589826"/>
    <mergeCell ref="JEW589826:JFB589826"/>
    <mergeCell ref="JOS589826:JOX589826"/>
    <mergeCell ref="JYO589826:JYT589826"/>
    <mergeCell ref="KIK589826:KIP589826"/>
    <mergeCell ref="KSG589826:KSL589826"/>
    <mergeCell ref="LCC589826:LCH589826"/>
    <mergeCell ref="LLY589826:LMD589826"/>
    <mergeCell ref="LVU589826:LVZ589826"/>
    <mergeCell ref="MFQ589826:MFV589826"/>
    <mergeCell ref="MPM589826:MPR589826"/>
    <mergeCell ref="MZI589826:MZN589826"/>
    <mergeCell ref="NJE589826:NJJ589826"/>
    <mergeCell ref="NTA589826:NTF589826"/>
    <mergeCell ref="OCW589826:ODB589826"/>
    <mergeCell ref="OMS589826:OMX589826"/>
    <mergeCell ref="OWO589826:OWT589826"/>
    <mergeCell ref="PGK589826:PGP589826"/>
    <mergeCell ref="PQG589826:PQL589826"/>
    <mergeCell ref="QAC589826:QAH589826"/>
    <mergeCell ref="QJY589826:QKD589826"/>
    <mergeCell ref="QTU589826:QTZ589826"/>
    <mergeCell ref="RDQ589826:RDV589826"/>
    <mergeCell ref="RNM589826:RNR589826"/>
    <mergeCell ref="RXI589826:RXN589826"/>
    <mergeCell ref="SHE589826:SHJ589826"/>
    <mergeCell ref="SRA589826:SRF589826"/>
    <mergeCell ref="TAW589826:TBB589826"/>
    <mergeCell ref="TKS589826:TKX589826"/>
    <mergeCell ref="TUO589826:TUT589826"/>
    <mergeCell ref="UEK589826:UEP589826"/>
    <mergeCell ref="UOG589826:UOL589826"/>
    <mergeCell ref="UYC589826:UYH589826"/>
    <mergeCell ref="VHY589826:VID589826"/>
    <mergeCell ref="VRU589826:VRZ589826"/>
    <mergeCell ref="WBQ589826:WBV589826"/>
    <mergeCell ref="WLM589826:WLR589826"/>
    <mergeCell ref="WVI589826:WVN589826"/>
    <mergeCell ref="A655362:F655362"/>
    <mergeCell ref="IW655362:JB655362"/>
    <mergeCell ref="SS655362:SX655362"/>
    <mergeCell ref="ACO655362:ACT655362"/>
    <mergeCell ref="AMK655362:AMP655362"/>
    <mergeCell ref="AWG655362:AWL655362"/>
    <mergeCell ref="BGC655362:BGH655362"/>
    <mergeCell ref="BPY655362:BQD655362"/>
    <mergeCell ref="BZU655362:BZZ655362"/>
    <mergeCell ref="CJQ655362:CJV655362"/>
    <mergeCell ref="CTM655362:CTR655362"/>
    <mergeCell ref="DDI655362:DDN655362"/>
    <mergeCell ref="DNE655362:DNJ655362"/>
    <mergeCell ref="DXA655362:DXF655362"/>
    <mergeCell ref="EGW655362:EHB655362"/>
    <mergeCell ref="EQS655362:EQX655362"/>
    <mergeCell ref="FAO655362:FAT655362"/>
    <mergeCell ref="FKK655362:FKP655362"/>
    <mergeCell ref="FUG655362:FUL655362"/>
    <mergeCell ref="GEC655362:GEH655362"/>
    <mergeCell ref="GNY655362:GOD655362"/>
    <mergeCell ref="GXU655362:GXZ655362"/>
    <mergeCell ref="HHQ655362:HHV655362"/>
    <mergeCell ref="HRM655362:HRR655362"/>
    <mergeCell ref="IBI655362:IBN655362"/>
    <mergeCell ref="ILE655362:ILJ655362"/>
    <mergeCell ref="IVA655362:IVF655362"/>
    <mergeCell ref="JEW655362:JFB655362"/>
    <mergeCell ref="JOS655362:JOX655362"/>
    <mergeCell ref="JYO655362:JYT655362"/>
    <mergeCell ref="KIK655362:KIP655362"/>
    <mergeCell ref="KSG655362:KSL655362"/>
    <mergeCell ref="LCC655362:LCH655362"/>
    <mergeCell ref="LLY655362:LMD655362"/>
    <mergeCell ref="LVU655362:LVZ655362"/>
    <mergeCell ref="MFQ655362:MFV655362"/>
    <mergeCell ref="MPM655362:MPR655362"/>
    <mergeCell ref="MZI655362:MZN655362"/>
    <mergeCell ref="NJE655362:NJJ655362"/>
    <mergeCell ref="NTA655362:NTF655362"/>
    <mergeCell ref="OCW655362:ODB655362"/>
    <mergeCell ref="OMS655362:OMX655362"/>
    <mergeCell ref="OWO655362:OWT655362"/>
    <mergeCell ref="PGK655362:PGP655362"/>
    <mergeCell ref="PQG655362:PQL655362"/>
    <mergeCell ref="QAC655362:QAH655362"/>
    <mergeCell ref="QJY655362:QKD655362"/>
    <mergeCell ref="QTU655362:QTZ655362"/>
    <mergeCell ref="RDQ655362:RDV655362"/>
    <mergeCell ref="RNM655362:RNR655362"/>
    <mergeCell ref="RXI655362:RXN655362"/>
    <mergeCell ref="SHE655362:SHJ655362"/>
    <mergeCell ref="SRA655362:SRF655362"/>
    <mergeCell ref="TAW655362:TBB655362"/>
    <mergeCell ref="TKS655362:TKX655362"/>
    <mergeCell ref="TUO655362:TUT655362"/>
    <mergeCell ref="UEK655362:UEP655362"/>
    <mergeCell ref="UOG655362:UOL655362"/>
    <mergeCell ref="UYC655362:UYH655362"/>
    <mergeCell ref="VHY655362:VID655362"/>
    <mergeCell ref="VRU655362:VRZ655362"/>
    <mergeCell ref="WBQ655362:WBV655362"/>
    <mergeCell ref="WLM655362:WLR655362"/>
    <mergeCell ref="WVI655362:WVN655362"/>
    <mergeCell ref="A720898:F720898"/>
    <mergeCell ref="IW720898:JB720898"/>
    <mergeCell ref="SS720898:SX720898"/>
    <mergeCell ref="ACO720898:ACT720898"/>
    <mergeCell ref="AMK720898:AMP720898"/>
    <mergeCell ref="AWG720898:AWL720898"/>
    <mergeCell ref="BGC720898:BGH720898"/>
    <mergeCell ref="BPY720898:BQD720898"/>
    <mergeCell ref="BZU720898:BZZ720898"/>
    <mergeCell ref="CJQ720898:CJV720898"/>
    <mergeCell ref="CTM720898:CTR720898"/>
    <mergeCell ref="DDI720898:DDN720898"/>
    <mergeCell ref="DNE720898:DNJ720898"/>
    <mergeCell ref="DXA720898:DXF720898"/>
    <mergeCell ref="EGW720898:EHB720898"/>
    <mergeCell ref="EQS720898:EQX720898"/>
    <mergeCell ref="FAO720898:FAT720898"/>
    <mergeCell ref="FKK720898:FKP720898"/>
    <mergeCell ref="FUG720898:FUL720898"/>
    <mergeCell ref="GEC720898:GEH720898"/>
    <mergeCell ref="GNY720898:GOD720898"/>
    <mergeCell ref="GXU720898:GXZ720898"/>
    <mergeCell ref="HHQ720898:HHV720898"/>
    <mergeCell ref="HRM720898:HRR720898"/>
    <mergeCell ref="IBI720898:IBN720898"/>
    <mergeCell ref="ILE720898:ILJ720898"/>
    <mergeCell ref="IVA720898:IVF720898"/>
    <mergeCell ref="JEW720898:JFB720898"/>
    <mergeCell ref="JOS720898:JOX720898"/>
    <mergeCell ref="JYO720898:JYT720898"/>
    <mergeCell ref="KIK720898:KIP720898"/>
    <mergeCell ref="KSG720898:KSL720898"/>
    <mergeCell ref="LCC720898:LCH720898"/>
    <mergeCell ref="LLY720898:LMD720898"/>
    <mergeCell ref="LVU720898:LVZ720898"/>
    <mergeCell ref="MFQ720898:MFV720898"/>
    <mergeCell ref="MPM720898:MPR720898"/>
    <mergeCell ref="MZI720898:MZN720898"/>
    <mergeCell ref="NJE720898:NJJ720898"/>
    <mergeCell ref="NTA720898:NTF720898"/>
    <mergeCell ref="OCW720898:ODB720898"/>
    <mergeCell ref="OMS720898:OMX720898"/>
    <mergeCell ref="OWO720898:OWT720898"/>
    <mergeCell ref="PGK720898:PGP720898"/>
    <mergeCell ref="PQG720898:PQL720898"/>
    <mergeCell ref="QAC720898:QAH720898"/>
    <mergeCell ref="QJY720898:QKD720898"/>
    <mergeCell ref="QTU720898:QTZ720898"/>
    <mergeCell ref="RDQ720898:RDV720898"/>
    <mergeCell ref="RNM720898:RNR720898"/>
    <mergeCell ref="RXI720898:RXN720898"/>
    <mergeCell ref="SHE720898:SHJ720898"/>
    <mergeCell ref="SRA720898:SRF720898"/>
    <mergeCell ref="TAW720898:TBB720898"/>
    <mergeCell ref="TKS720898:TKX720898"/>
    <mergeCell ref="TUO720898:TUT720898"/>
    <mergeCell ref="UEK720898:UEP720898"/>
    <mergeCell ref="UOG720898:UOL720898"/>
    <mergeCell ref="UYC720898:UYH720898"/>
    <mergeCell ref="VHY720898:VID720898"/>
    <mergeCell ref="VRU720898:VRZ720898"/>
    <mergeCell ref="WBQ720898:WBV720898"/>
    <mergeCell ref="WLM720898:WLR720898"/>
    <mergeCell ref="WVI720898:WVN720898"/>
    <mergeCell ref="A786434:F786434"/>
    <mergeCell ref="IW786434:JB786434"/>
    <mergeCell ref="SS786434:SX786434"/>
    <mergeCell ref="ACO786434:ACT786434"/>
    <mergeCell ref="AMK786434:AMP786434"/>
    <mergeCell ref="AWG786434:AWL786434"/>
    <mergeCell ref="BGC786434:BGH786434"/>
    <mergeCell ref="BPY786434:BQD786434"/>
    <mergeCell ref="BZU786434:BZZ786434"/>
    <mergeCell ref="CJQ786434:CJV786434"/>
    <mergeCell ref="CTM786434:CTR786434"/>
    <mergeCell ref="DDI786434:DDN786434"/>
    <mergeCell ref="DNE786434:DNJ786434"/>
    <mergeCell ref="DXA786434:DXF786434"/>
    <mergeCell ref="EGW786434:EHB786434"/>
    <mergeCell ref="EQS786434:EQX786434"/>
    <mergeCell ref="FAO786434:FAT786434"/>
    <mergeCell ref="FKK786434:FKP786434"/>
    <mergeCell ref="FUG786434:FUL786434"/>
    <mergeCell ref="GEC786434:GEH786434"/>
    <mergeCell ref="GNY786434:GOD786434"/>
    <mergeCell ref="GXU786434:GXZ786434"/>
    <mergeCell ref="HHQ786434:HHV786434"/>
    <mergeCell ref="HRM786434:HRR786434"/>
    <mergeCell ref="IBI786434:IBN786434"/>
    <mergeCell ref="ILE786434:ILJ786434"/>
    <mergeCell ref="IVA786434:IVF786434"/>
    <mergeCell ref="JEW786434:JFB786434"/>
    <mergeCell ref="JOS786434:JOX786434"/>
    <mergeCell ref="JYO786434:JYT786434"/>
    <mergeCell ref="KIK786434:KIP786434"/>
    <mergeCell ref="KSG786434:KSL786434"/>
    <mergeCell ref="LCC786434:LCH786434"/>
    <mergeCell ref="LLY786434:LMD786434"/>
    <mergeCell ref="LVU786434:LVZ786434"/>
    <mergeCell ref="MFQ786434:MFV786434"/>
    <mergeCell ref="MPM786434:MPR786434"/>
    <mergeCell ref="MZI786434:MZN786434"/>
    <mergeCell ref="NJE786434:NJJ786434"/>
    <mergeCell ref="NTA786434:NTF786434"/>
    <mergeCell ref="OCW786434:ODB786434"/>
    <mergeCell ref="OMS786434:OMX786434"/>
    <mergeCell ref="OWO786434:OWT786434"/>
    <mergeCell ref="PGK786434:PGP786434"/>
    <mergeCell ref="PQG786434:PQL786434"/>
    <mergeCell ref="QAC786434:QAH786434"/>
    <mergeCell ref="QJY786434:QKD786434"/>
    <mergeCell ref="QTU786434:QTZ786434"/>
    <mergeCell ref="RDQ786434:RDV786434"/>
    <mergeCell ref="RNM786434:RNR786434"/>
    <mergeCell ref="RXI786434:RXN786434"/>
    <mergeCell ref="SHE786434:SHJ786434"/>
    <mergeCell ref="SRA786434:SRF786434"/>
    <mergeCell ref="TAW786434:TBB786434"/>
    <mergeCell ref="TKS786434:TKX786434"/>
    <mergeCell ref="TUO786434:TUT786434"/>
    <mergeCell ref="UEK786434:UEP786434"/>
    <mergeCell ref="UOG786434:UOL786434"/>
    <mergeCell ref="UYC786434:UYH786434"/>
    <mergeCell ref="VHY786434:VID786434"/>
    <mergeCell ref="VRU786434:VRZ786434"/>
    <mergeCell ref="WBQ786434:WBV786434"/>
    <mergeCell ref="WLM786434:WLR786434"/>
    <mergeCell ref="WVI786434:WVN786434"/>
    <mergeCell ref="A851970:F851970"/>
    <mergeCell ref="IW851970:JB851970"/>
    <mergeCell ref="SS851970:SX851970"/>
    <mergeCell ref="ACO851970:ACT851970"/>
    <mergeCell ref="AMK851970:AMP851970"/>
    <mergeCell ref="AWG851970:AWL851970"/>
    <mergeCell ref="BGC851970:BGH851970"/>
    <mergeCell ref="BPY851970:BQD851970"/>
    <mergeCell ref="BZU851970:BZZ851970"/>
    <mergeCell ref="CJQ851970:CJV851970"/>
    <mergeCell ref="CTM851970:CTR851970"/>
    <mergeCell ref="DDI851970:DDN851970"/>
    <mergeCell ref="DNE851970:DNJ851970"/>
    <mergeCell ref="DXA851970:DXF851970"/>
    <mergeCell ref="EGW851970:EHB851970"/>
    <mergeCell ref="EQS851970:EQX851970"/>
    <mergeCell ref="FAO851970:FAT851970"/>
    <mergeCell ref="FKK851970:FKP851970"/>
    <mergeCell ref="FUG851970:FUL851970"/>
    <mergeCell ref="GEC851970:GEH851970"/>
    <mergeCell ref="GNY851970:GOD851970"/>
    <mergeCell ref="GXU851970:GXZ851970"/>
    <mergeCell ref="HHQ851970:HHV851970"/>
    <mergeCell ref="HRM851970:HRR851970"/>
    <mergeCell ref="IBI851970:IBN851970"/>
    <mergeCell ref="ILE851970:ILJ851970"/>
    <mergeCell ref="IVA851970:IVF851970"/>
    <mergeCell ref="JEW851970:JFB851970"/>
    <mergeCell ref="JOS851970:JOX851970"/>
    <mergeCell ref="JYO851970:JYT851970"/>
    <mergeCell ref="KIK851970:KIP851970"/>
    <mergeCell ref="KSG851970:KSL851970"/>
    <mergeCell ref="LCC851970:LCH851970"/>
    <mergeCell ref="LLY851970:LMD851970"/>
    <mergeCell ref="LVU851970:LVZ851970"/>
    <mergeCell ref="MFQ851970:MFV851970"/>
    <mergeCell ref="MPM851970:MPR851970"/>
    <mergeCell ref="MZI851970:MZN851970"/>
    <mergeCell ref="NJE851970:NJJ851970"/>
    <mergeCell ref="NTA851970:NTF851970"/>
    <mergeCell ref="OCW851970:ODB851970"/>
    <mergeCell ref="OMS851970:OMX851970"/>
    <mergeCell ref="OWO851970:OWT851970"/>
    <mergeCell ref="PGK851970:PGP851970"/>
    <mergeCell ref="PQG851970:PQL851970"/>
    <mergeCell ref="QAC851970:QAH851970"/>
    <mergeCell ref="QJY851970:QKD851970"/>
    <mergeCell ref="QTU851970:QTZ851970"/>
    <mergeCell ref="RDQ851970:RDV851970"/>
    <mergeCell ref="RNM851970:RNR851970"/>
    <mergeCell ref="RXI851970:RXN851970"/>
    <mergeCell ref="SHE851970:SHJ851970"/>
    <mergeCell ref="SRA851970:SRF851970"/>
    <mergeCell ref="TAW851970:TBB851970"/>
    <mergeCell ref="TKS851970:TKX851970"/>
    <mergeCell ref="TUO851970:TUT851970"/>
    <mergeCell ref="UEK851970:UEP851970"/>
    <mergeCell ref="UOG851970:UOL851970"/>
    <mergeCell ref="UYC851970:UYH851970"/>
    <mergeCell ref="VHY851970:VID851970"/>
    <mergeCell ref="VRU851970:VRZ851970"/>
    <mergeCell ref="WBQ851970:WBV851970"/>
    <mergeCell ref="WLM851970:WLR851970"/>
    <mergeCell ref="WVI851970:WVN851970"/>
    <mergeCell ref="A917506:F917506"/>
    <mergeCell ref="IW917506:JB917506"/>
    <mergeCell ref="SS917506:SX917506"/>
    <mergeCell ref="ACO917506:ACT917506"/>
    <mergeCell ref="AMK917506:AMP917506"/>
    <mergeCell ref="AWG917506:AWL917506"/>
    <mergeCell ref="BGC917506:BGH917506"/>
    <mergeCell ref="BPY917506:BQD917506"/>
    <mergeCell ref="BZU917506:BZZ917506"/>
    <mergeCell ref="CJQ917506:CJV917506"/>
    <mergeCell ref="CTM917506:CTR917506"/>
    <mergeCell ref="DDI917506:DDN917506"/>
    <mergeCell ref="DNE917506:DNJ917506"/>
    <mergeCell ref="DXA917506:DXF917506"/>
    <mergeCell ref="EGW917506:EHB917506"/>
    <mergeCell ref="EQS917506:EQX917506"/>
    <mergeCell ref="FAO917506:FAT917506"/>
    <mergeCell ref="FKK917506:FKP917506"/>
    <mergeCell ref="FUG917506:FUL917506"/>
    <mergeCell ref="GEC917506:GEH917506"/>
    <mergeCell ref="GNY917506:GOD917506"/>
    <mergeCell ref="GXU917506:GXZ917506"/>
    <mergeCell ref="HHQ917506:HHV917506"/>
    <mergeCell ref="HRM917506:HRR917506"/>
    <mergeCell ref="IBI917506:IBN917506"/>
    <mergeCell ref="ILE917506:ILJ917506"/>
    <mergeCell ref="IVA917506:IVF917506"/>
    <mergeCell ref="JEW917506:JFB917506"/>
    <mergeCell ref="JOS917506:JOX917506"/>
    <mergeCell ref="JYO917506:JYT917506"/>
    <mergeCell ref="KIK917506:KIP917506"/>
    <mergeCell ref="KSG917506:KSL917506"/>
    <mergeCell ref="LCC917506:LCH917506"/>
    <mergeCell ref="LLY917506:LMD917506"/>
    <mergeCell ref="LVU917506:LVZ917506"/>
    <mergeCell ref="MFQ917506:MFV917506"/>
    <mergeCell ref="MPM917506:MPR917506"/>
    <mergeCell ref="MZI917506:MZN917506"/>
    <mergeCell ref="NJE917506:NJJ917506"/>
    <mergeCell ref="NTA917506:NTF917506"/>
    <mergeCell ref="OCW917506:ODB917506"/>
    <mergeCell ref="OMS917506:OMX917506"/>
    <mergeCell ref="OWO917506:OWT917506"/>
    <mergeCell ref="PGK917506:PGP917506"/>
    <mergeCell ref="PQG917506:PQL917506"/>
    <mergeCell ref="QAC917506:QAH917506"/>
    <mergeCell ref="QJY917506:QKD917506"/>
    <mergeCell ref="QTU917506:QTZ917506"/>
    <mergeCell ref="RDQ917506:RDV917506"/>
    <mergeCell ref="RNM917506:RNR917506"/>
    <mergeCell ref="RXI917506:RXN917506"/>
    <mergeCell ref="SHE917506:SHJ917506"/>
    <mergeCell ref="SRA917506:SRF917506"/>
    <mergeCell ref="TAW917506:TBB917506"/>
    <mergeCell ref="TKS917506:TKX917506"/>
    <mergeCell ref="TUO917506:TUT917506"/>
    <mergeCell ref="UEK917506:UEP917506"/>
    <mergeCell ref="UOG917506:UOL917506"/>
    <mergeCell ref="UYC917506:UYH917506"/>
    <mergeCell ref="VHY917506:VID917506"/>
    <mergeCell ref="VRU917506:VRZ917506"/>
    <mergeCell ref="WBQ917506:WBV917506"/>
    <mergeCell ref="WLM917506:WLR917506"/>
    <mergeCell ref="WVI917506:WVN917506"/>
    <mergeCell ref="A983042:F983042"/>
    <mergeCell ref="IW983042:JB983042"/>
    <mergeCell ref="SS983042:SX983042"/>
    <mergeCell ref="ACO983042:ACT983042"/>
    <mergeCell ref="AMK983042:AMP983042"/>
    <mergeCell ref="AWG983042:AWL983042"/>
    <mergeCell ref="BGC983042:BGH983042"/>
    <mergeCell ref="BPY983042:BQD983042"/>
    <mergeCell ref="BZU983042:BZZ983042"/>
    <mergeCell ref="CJQ983042:CJV983042"/>
    <mergeCell ref="CTM983042:CTR983042"/>
    <mergeCell ref="DDI983042:DDN983042"/>
    <mergeCell ref="DNE983042:DNJ983042"/>
    <mergeCell ref="DXA983042:DXF983042"/>
    <mergeCell ref="EGW983042:EHB983042"/>
    <mergeCell ref="EQS983042:EQX983042"/>
    <mergeCell ref="FAO983042:FAT983042"/>
    <mergeCell ref="FKK983042:FKP983042"/>
    <mergeCell ref="FUG983042:FUL983042"/>
    <mergeCell ref="GEC983042:GEH983042"/>
    <mergeCell ref="GNY983042:GOD983042"/>
    <mergeCell ref="GXU983042:GXZ983042"/>
    <mergeCell ref="HHQ983042:HHV983042"/>
    <mergeCell ref="HRM983042:HRR983042"/>
    <mergeCell ref="IBI983042:IBN983042"/>
    <mergeCell ref="ILE983042:ILJ983042"/>
    <mergeCell ref="IVA983042:IVF983042"/>
    <mergeCell ref="JEW983042:JFB983042"/>
    <mergeCell ref="JOS983042:JOX983042"/>
    <mergeCell ref="JYO983042:JYT983042"/>
    <mergeCell ref="KIK983042:KIP983042"/>
    <mergeCell ref="KSG983042:KSL983042"/>
    <mergeCell ref="LCC983042:LCH983042"/>
    <mergeCell ref="LLY983042:LMD983042"/>
    <mergeCell ref="LVU983042:LVZ983042"/>
    <mergeCell ref="MFQ983042:MFV983042"/>
    <mergeCell ref="MPM983042:MPR983042"/>
    <mergeCell ref="MZI983042:MZN983042"/>
    <mergeCell ref="NJE983042:NJJ983042"/>
    <mergeCell ref="NTA983042:NTF983042"/>
    <mergeCell ref="OCW983042:ODB983042"/>
    <mergeCell ref="OMS983042:OMX983042"/>
    <mergeCell ref="OWO983042:OWT983042"/>
    <mergeCell ref="PGK983042:PGP983042"/>
    <mergeCell ref="PQG983042:PQL983042"/>
    <mergeCell ref="QAC983042:QAH983042"/>
    <mergeCell ref="QJY983042:QKD983042"/>
    <mergeCell ref="QTU983042:QTZ983042"/>
    <mergeCell ref="RDQ983042:RDV983042"/>
    <mergeCell ref="RNM983042:RNR983042"/>
    <mergeCell ref="RXI983042:RXN983042"/>
    <mergeCell ref="SHE983042:SHJ983042"/>
    <mergeCell ref="SRA983042:SRF983042"/>
    <mergeCell ref="TAW983042:TBB983042"/>
    <mergeCell ref="TKS983042:TKX983042"/>
    <mergeCell ref="TUO983042:TUT983042"/>
    <mergeCell ref="UEK983042:UEP983042"/>
    <mergeCell ref="UOG983042:UOL983042"/>
    <mergeCell ref="UYC983042:UYH983042"/>
    <mergeCell ref="VHY983042:VID983042"/>
    <mergeCell ref="VRU983042:VRZ983042"/>
    <mergeCell ref="WBQ983042:WBV983042"/>
    <mergeCell ref="WLM983042:WLR983042"/>
    <mergeCell ref="WVI983042:WVN983042"/>
  </mergeCells>
  <printOptions horizontalCentered="1"/>
  <pageMargins left="0.393055555555556" right="0.393055555555556" top="0.707638888888889" bottom="0.904166666666667" header="0.511805555555556" footer="0.511805555555556"/>
  <pageSetup paperSize="9" scale="110" firstPageNumber="71" orientation="landscape" useFirstPageNumber="1" errors="blank" horizontalDpi="600"/>
  <headerFooter>
    <oddFooter>&amp;C&amp;"Times New Roman"&amp;12—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75"/>
  <sheetViews>
    <sheetView workbookViewId="0">
      <selection activeCell="A1" sqref="A1"/>
    </sheetView>
  </sheetViews>
  <sheetFormatPr defaultColWidth="8.88888888888889" defaultRowHeight="14.4" outlineLevelCol="2"/>
  <cols>
    <col min="1" max="1" width="17.7777777777778" customWidth="1"/>
    <col min="2" max="2" width="63.6666666666667" customWidth="1"/>
    <col min="3" max="3" width="9.44444444444444" customWidth="1"/>
  </cols>
  <sheetData>
    <row r="1" spans="1:1">
      <c r="A1" s="3" t="s">
        <v>750</v>
      </c>
    </row>
    <row r="2" ht="24" spans="1:3">
      <c r="A2" s="114" t="s">
        <v>751</v>
      </c>
      <c r="B2" s="114"/>
      <c r="C2" s="114"/>
    </row>
    <row r="3" ht="18" customHeight="1" spans="1:3">
      <c r="A3" s="114"/>
      <c r="B3" s="114"/>
      <c r="C3" s="116" t="s">
        <v>2</v>
      </c>
    </row>
    <row r="4" spans="1:3">
      <c r="A4" s="117" t="s">
        <v>752</v>
      </c>
      <c r="B4" s="118" t="s">
        <v>753</v>
      </c>
      <c r="C4" s="117" t="s">
        <v>49</v>
      </c>
    </row>
    <row r="5" spans="1:3">
      <c r="A5" s="119"/>
      <c r="B5" s="120" t="s">
        <v>754</v>
      </c>
      <c r="C5" s="121">
        <f>C6+C50</f>
        <v>0</v>
      </c>
    </row>
    <row r="6" spans="1:3">
      <c r="A6" s="119">
        <v>10301</v>
      </c>
      <c r="B6" s="120" t="s">
        <v>755</v>
      </c>
      <c r="C6" s="121">
        <f>SUM(C7:C16,C22:C27,C30:C32,C35:C41,C49)</f>
        <v>0</v>
      </c>
    </row>
    <row r="7" spans="1:3">
      <c r="A7" s="119">
        <v>1030102</v>
      </c>
      <c r="B7" s="122" t="s">
        <v>756</v>
      </c>
      <c r="C7" s="121">
        <v>0</v>
      </c>
    </row>
    <row r="8" spans="1:3">
      <c r="A8" s="119">
        <v>1030106</v>
      </c>
      <c r="B8" s="122" t="s">
        <v>757</v>
      </c>
      <c r="C8" s="121">
        <v>0</v>
      </c>
    </row>
    <row r="9" spans="1:3">
      <c r="A9" s="119">
        <v>1030110</v>
      </c>
      <c r="B9" s="122" t="s">
        <v>758</v>
      </c>
      <c r="C9" s="121">
        <v>0</v>
      </c>
    </row>
    <row r="10" spans="1:3">
      <c r="A10" s="119">
        <v>1030112</v>
      </c>
      <c r="B10" s="122" t="s">
        <v>759</v>
      </c>
      <c r="C10" s="121">
        <v>0</v>
      </c>
    </row>
    <row r="11" spans="1:3">
      <c r="A11" s="119">
        <v>1030115</v>
      </c>
      <c r="B11" s="122" t="s">
        <v>760</v>
      </c>
      <c r="C11" s="121">
        <v>0</v>
      </c>
    </row>
    <row r="12" spans="1:3">
      <c r="A12" s="119">
        <v>1030121</v>
      </c>
      <c r="B12" s="122" t="s">
        <v>761</v>
      </c>
      <c r="C12" s="121">
        <v>0</v>
      </c>
    </row>
    <row r="13" spans="1:3">
      <c r="A13" s="119">
        <v>1030129</v>
      </c>
      <c r="B13" s="122" t="s">
        <v>762</v>
      </c>
      <c r="C13" s="121">
        <v>0</v>
      </c>
    </row>
    <row r="14" spans="1:3">
      <c r="A14" s="119">
        <v>1030146</v>
      </c>
      <c r="B14" s="122" t="s">
        <v>763</v>
      </c>
      <c r="C14" s="121">
        <v>0</v>
      </c>
    </row>
    <row r="15" spans="1:3">
      <c r="A15" s="119">
        <v>1030147</v>
      </c>
      <c r="B15" s="122" t="s">
        <v>764</v>
      </c>
      <c r="C15" s="121">
        <v>0</v>
      </c>
    </row>
    <row r="16" spans="1:3">
      <c r="A16" s="119">
        <v>1030148</v>
      </c>
      <c r="B16" s="122" t="s">
        <v>765</v>
      </c>
      <c r="C16" s="121">
        <f>SUM(C17:C21)</f>
        <v>0</v>
      </c>
    </row>
    <row r="17" spans="1:3">
      <c r="A17" s="119">
        <v>103014801</v>
      </c>
      <c r="B17" s="122" t="s">
        <v>766</v>
      </c>
      <c r="C17" s="121">
        <v>0</v>
      </c>
    </row>
    <row r="18" spans="1:3">
      <c r="A18" s="119">
        <v>103014802</v>
      </c>
      <c r="B18" s="122" t="s">
        <v>767</v>
      </c>
      <c r="C18" s="121">
        <v>0</v>
      </c>
    </row>
    <row r="19" spans="1:3">
      <c r="A19" s="119">
        <v>103014803</v>
      </c>
      <c r="B19" s="122" t="s">
        <v>768</v>
      </c>
      <c r="C19" s="121">
        <v>0</v>
      </c>
    </row>
    <row r="20" spans="1:3">
      <c r="A20" s="119">
        <v>103014898</v>
      </c>
      <c r="B20" s="123" t="s">
        <v>769</v>
      </c>
      <c r="C20" s="121">
        <v>0</v>
      </c>
    </row>
    <row r="21" spans="1:3">
      <c r="A21" s="119">
        <v>103014899</v>
      </c>
      <c r="B21" s="122" t="s">
        <v>770</v>
      </c>
      <c r="C21" s="121">
        <v>0</v>
      </c>
    </row>
    <row r="22" spans="1:3">
      <c r="A22" s="119">
        <v>1030149</v>
      </c>
      <c r="B22" s="122" t="s">
        <v>771</v>
      </c>
      <c r="C22" s="121">
        <v>0</v>
      </c>
    </row>
    <row r="23" spans="1:3">
      <c r="A23" s="119">
        <v>1030150</v>
      </c>
      <c r="B23" s="122" t="s">
        <v>772</v>
      </c>
      <c r="C23" s="121">
        <v>0</v>
      </c>
    </row>
    <row r="24" spans="1:3">
      <c r="A24" s="119">
        <v>1030152</v>
      </c>
      <c r="B24" s="122" t="s">
        <v>773</v>
      </c>
      <c r="C24" s="121">
        <v>0</v>
      </c>
    </row>
    <row r="25" spans="1:3">
      <c r="A25" s="119">
        <v>1030153</v>
      </c>
      <c r="B25" s="122" t="s">
        <v>774</v>
      </c>
      <c r="C25" s="121">
        <v>0</v>
      </c>
    </row>
    <row r="26" spans="1:3">
      <c r="A26" s="119">
        <v>1030154</v>
      </c>
      <c r="B26" s="122" t="s">
        <v>775</v>
      </c>
      <c r="C26" s="121">
        <v>0</v>
      </c>
    </row>
    <row r="27" spans="1:3">
      <c r="A27" s="119">
        <v>1030155</v>
      </c>
      <c r="B27" s="122" t="s">
        <v>776</v>
      </c>
      <c r="C27" s="121">
        <f>C28+C29</f>
        <v>0</v>
      </c>
    </row>
    <row r="28" spans="1:3">
      <c r="A28" s="119">
        <v>103015501</v>
      </c>
      <c r="B28" s="122" t="s">
        <v>777</v>
      </c>
      <c r="C28" s="121">
        <v>0</v>
      </c>
    </row>
    <row r="29" spans="1:3">
      <c r="A29" s="119">
        <v>103015502</v>
      </c>
      <c r="B29" s="122" t="s">
        <v>778</v>
      </c>
      <c r="C29" s="121">
        <v>0</v>
      </c>
    </row>
    <row r="30" spans="1:3">
      <c r="A30" s="119">
        <v>1030156</v>
      </c>
      <c r="B30" s="122" t="s">
        <v>779</v>
      </c>
      <c r="C30" s="121">
        <v>0</v>
      </c>
    </row>
    <row r="31" spans="1:3">
      <c r="A31" s="119">
        <v>1030157</v>
      </c>
      <c r="B31" s="122" t="s">
        <v>780</v>
      </c>
      <c r="C31" s="121">
        <v>0</v>
      </c>
    </row>
    <row r="32" spans="1:3">
      <c r="A32" s="119">
        <v>1030158</v>
      </c>
      <c r="B32" s="122" t="s">
        <v>781</v>
      </c>
      <c r="C32" s="121">
        <f>SUM(C33:C34)</f>
        <v>0</v>
      </c>
    </row>
    <row r="33" spans="1:3">
      <c r="A33" s="119">
        <v>103015801</v>
      </c>
      <c r="B33" s="122" t="s">
        <v>782</v>
      </c>
      <c r="C33" s="121">
        <v>0</v>
      </c>
    </row>
    <row r="34" spans="1:3">
      <c r="A34" s="119">
        <v>103015803</v>
      </c>
      <c r="B34" s="122" t="s">
        <v>783</v>
      </c>
      <c r="C34" s="121">
        <v>0</v>
      </c>
    </row>
    <row r="35" spans="1:3">
      <c r="A35" s="119">
        <v>1030159</v>
      </c>
      <c r="B35" s="122" t="s">
        <v>784</v>
      </c>
      <c r="C35" s="121">
        <v>0</v>
      </c>
    </row>
    <row r="36" spans="1:3">
      <c r="A36" s="119">
        <v>1030166</v>
      </c>
      <c r="B36" s="122" t="s">
        <v>785</v>
      </c>
      <c r="C36" s="121">
        <v>0</v>
      </c>
    </row>
    <row r="37" spans="1:3">
      <c r="A37" s="119">
        <v>1030168</v>
      </c>
      <c r="B37" s="122" t="s">
        <v>786</v>
      </c>
      <c r="C37" s="121">
        <v>0</v>
      </c>
    </row>
    <row r="38" spans="1:3">
      <c r="A38" s="119">
        <v>1030171</v>
      </c>
      <c r="B38" s="122" t="s">
        <v>787</v>
      </c>
      <c r="C38" s="121">
        <v>0</v>
      </c>
    </row>
    <row r="39" spans="1:3">
      <c r="A39" s="119">
        <v>1030175</v>
      </c>
      <c r="B39" s="122" t="s">
        <v>788</v>
      </c>
      <c r="C39" s="121">
        <v>0</v>
      </c>
    </row>
    <row r="40" spans="1:3">
      <c r="A40" s="119">
        <v>1030178</v>
      </c>
      <c r="B40" s="122" t="s">
        <v>789</v>
      </c>
      <c r="C40" s="121">
        <v>0</v>
      </c>
    </row>
    <row r="41" spans="1:3">
      <c r="A41" s="119">
        <v>1030180</v>
      </c>
      <c r="B41" s="122" t="s">
        <v>790</v>
      </c>
      <c r="C41" s="121">
        <f>SUM(C42:C48)</f>
        <v>0</v>
      </c>
    </row>
    <row r="42" spans="1:3">
      <c r="A42" s="119">
        <v>103018001</v>
      </c>
      <c r="B42" s="122" t="s">
        <v>791</v>
      </c>
      <c r="C42" s="121">
        <v>0</v>
      </c>
    </row>
    <row r="43" spans="1:3">
      <c r="A43" s="119">
        <v>103018002</v>
      </c>
      <c r="B43" s="122" t="s">
        <v>792</v>
      </c>
      <c r="C43" s="121">
        <v>0</v>
      </c>
    </row>
    <row r="44" spans="1:3">
      <c r="A44" s="119">
        <v>103018003</v>
      </c>
      <c r="B44" s="122" t="s">
        <v>793</v>
      </c>
      <c r="C44" s="121">
        <v>0</v>
      </c>
    </row>
    <row r="45" spans="1:3">
      <c r="A45" s="119">
        <v>103018004</v>
      </c>
      <c r="B45" s="122" t="s">
        <v>794</v>
      </c>
      <c r="C45" s="121">
        <v>0</v>
      </c>
    </row>
    <row r="46" spans="1:3">
      <c r="A46" s="119">
        <v>103018005</v>
      </c>
      <c r="B46" s="122" t="s">
        <v>795</v>
      </c>
      <c r="C46" s="121">
        <v>0</v>
      </c>
    </row>
    <row r="47" spans="1:3">
      <c r="A47" s="119">
        <v>103018006</v>
      </c>
      <c r="B47" s="122" t="s">
        <v>796</v>
      </c>
      <c r="C47" s="121">
        <v>0</v>
      </c>
    </row>
    <row r="48" spans="1:3">
      <c r="A48" s="119">
        <v>103018007</v>
      </c>
      <c r="B48" s="122" t="s">
        <v>797</v>
      </c>
      <c r="C48" s="121">
        <v>0</v>
      </c>
    </row>
    <row r="49" spans="1:3">
      <c r="A49" s="119">
        <v>1030199</v>
      </c>
      <c r="B49" s="122" t="s">
        <v>798</v>
      </c>
      <c r="C49" s="121">
        <v>0</v>
      </c>
    </row>
    <row r="50" spans="1:3">
      <c r="A50" s="119">
        <v>10310</v>
      </c>
      <c r="B50" s="124" t="s">
        <v>799</v>
      </c>
      <c r="C50" s="121">
        <f>SUM(C51:C54,C58:C63,C66:C67)</f>
        <v>0</v>
      </c>
    </row>
    <row r="51" spans="1:3">
      <c r="A51" s="119">
        <v>1031003</v>
      </c>
      <c r="B51" s="125" t="s">
        <v>800</v>
      </c>
      <c r="C51" s="121">
        <v>0</v>
      </c>
    </row>
    <row r="52" spans="1:3">
      <c r="A52" s="119">
        <v>1031004</v>
      </c>
      <c r="B52" s="125" t="s">
        <v>801</v>
      </c>
      <c r="C52" s="121">
        <v>0</v>
      </c>
    </row>
    <row r="53" spans="1:3">
      <c r="A53" s="119">
        <v>1031005</v>
      </c>
      <c r="B53" s="125" t="s">
        <v>802</v>
      </c>
      <c r="C53" s="121">
        <v>0</v>
      </c>
    </row>
    <row r="54" spans="1:3">
      <c r="A54" s="119">
        <v>1031006</v>
      </c>
      <c r="B54" s="125" t="s">
        <v>803</v>
      </c>
      <c r="C54" s="121">
        <f>SUM(C55:C57)</f>
        <v>0</v>
      </c>
    </row>
    <row r="55" spans="1:3">
      <c r="A55" s="119">
        <v>103100601</v>
      </c>
      <c r="B55" s="125" t="s">
        <v>804</v>
      </c>
      <c r="C55" s="121">
        <v>0</v>
      </c>
    </row>
    <row r="56" spans="1:3">
      <c r="A56" s="119">
        <v>103100602</v>
      </c>
      <c r="B56" s="125" t="s">
        <v>805</v>
      </c>
      <c r="C56" s="121">
        <v>0</v>
      </c>
    </row>
    <row r="57" spans="1:3">
      <c r="A57" s="119">
        <v>103100699</v>
      </c>
      <c r="B57" s="125" t="s">
        <v>806</v>
      </c>
      <c r="C57" s="121">
        <v>0</v>
      </c>
    </row>
    <row r="58" spans="1:3">
      <c r="A58" s="119">
        <v>1031008</v>
      </c>
      <c r="B58" s="125" t="s">
        <v>807</v>
      </c>
      <c r="C58" s="121">
        <v>0</v>
      </c>
    </row>
    <row r="59" spans="1:3">
      <c r="A59" s="119">
        <v>1031009</v>
      </c>
      <c r="B59" s="125" t="s">
        <v>808</v>
      </c>
      <c r="C59" s="121">
        <v>0</v>
      </c>
    </row>
    <row r="60" spans="1:3">
      <c r="A60" s="119">
        <v>1031010</v>
      </c>
      <c r="B60" s="125" t="s">
        <v>809</v>
      </c>
      <c r="C60" s="121">
        <v>0</v>
      </c>
    </row>
    <row r="61" spans="1:3">
      <c r="A61" s="119">
        <v>1031011</v>
      </c>
      <c r="B61" s="125" t="s">
        <v>810</v>
      </c>
      <c r="C61" s="121">
        <v>0</v>
      </c>
    </row>
    <row r="62" spans="1:3">
      <c r="A62" s="119">
        <v>1031012</v>
      </c>
      <c r="B62" s="125" t="s">
        <v>811</v>
      </c>
      <c r="C62" s="121">
        <v>0</v>
      </c>
    </row>
    <row r="63" spans="1:3">
      <c r="A63" s="119">
        <v>1031013</v>
      </c>
      <c r="B63" s="125" t="s">
        <v>812</v>
      </c>
      <c r="C63" s="121">
        <f>C64+C65</f>
        <v>0</v>
      </c>
    </row>
    <row r="64" spans="1:3">
      <c r="A64" s="119">
        <v>103101301</v>
      </c>
      <c r="B64" s="125" t="s">
        <v>813</v>
      </c>
      <c r="C64" s="121">
        <v>0</v>
      </c>
    </row>
    <row r="65" spans="1:3">
      <c r="A65" s="119">
        <v>103101399</v>
      </c>
      <c r="B65" s="125" t="s">
        <v>814</v>
      </c>
      <c r="C65" s="121">
        <v>0</v>
      </c>
    </row>
    <row r="66" spans="1:3">
      <c r="A66" s="119">
        <v>1031014</v>
      </c>
      <c r="B66" s="125" t="s">
        <v>815</v>
      </c>
      <c r="C66" s="121">
        <v>0</v>
      </c>
    </row>
    <row r="67" spans="1:3">
      <c r="A67" s="119">
        <v>1031099</v>
      </c>
      <c r="B67" s="125" t="s">
        <v>816</v>
      </c>
      <c r="C67" s="121">
        <f>C68+C69</f>
        <v>0</v>
      </c>
    </row>
    <row r="68" spans="1:3">
      <c r="A68" s="119">
        <v>103109998</v>
      </c>
      <c r="B68" s="125" t="s">
        <v>817</v>
      </c>
      <c r="C68" s="121">
        <v>0</v>
      </c>
    </row>
    <row r="69" spans="1:3">
      <c r="A69" s="119">
        <v>103109999</v>
      </c>
      <c r="B69" s="125" t="s">
        <v>818</v>
      </c>
      <c r="C69" s="121">
        <v>0</v>
      </c>
    </row>
    <row r="70" spans="1:3">
      <c r="A70" s="126" t="s">
        <v>819</v>
      </c>
      <c r="B70" s="127"/>
      <c r="C70" s="121">
        <v>0</v>
      </c>
    </row>
    <row r="71" ht="15.6" spans="1:3">
      <c r="A71" s="128"/>
      <c r="B71" s="129" t="s">
        <v>644</v>
      </c>
      <c r="C71" s="121">
        <v>124379</v>
      </c>
    </row>
    <row r="72" ht="15.6" spans="1:3">
      <c r="A72" s="128"/>
      <c r="B72" s="129" t="s">
        <v>820</v>
      </c>
      <c r="C72" s="121"/>
    </row>
    <row r="73" ht="15.6" spans="1:3">
      <c r="A73" s="128"/>
      <c r="B73" s="129" t="s">
        <v>821</v>
      </c>
      <c r="C73" s="121"/>
    </row>
    <row r="74" ht="15.6" spans="1:3">
      <c r="A74" s="128"/>
      <c r="B74" s="129" t="s">
        <v>822</v>
      </c>
      <c r="C74" s="121">
        <v>20270</v>
      </c>
    </row>
    <row r="75" ht="15.6" spans="1:3">
      <c r="A75" s="128"/>
      <c r="B75" s="118" t="s">
        <v>823</v>
      </c>
      <c r="C75" s="130">
        <f>C71+C72+C74+C73</f>
        <v>144649</v>
      </c>
    </row>
  </sheetData>
  <mergeCells count="2">
    <mergeCell ref="A2:C2"/>
    <mergeCell ref="A70:B70"/>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3"/>
  <sheetViews>
    <sheetView topLeftCell="A58" workbookViewId="0">
      <selection activeCell="A72" sqref="A72"/>
    </sheetView>
  </sheetViews>
  <sheetFormatPr defaultColWidth="8.88888888888889" defaultRowHeight="14.4" outlineLevelCol="6"/>
  <cols>
    <col min="1" max="1" width="77.1296296296296" customWidth="1"/>
    <col min="2" max="2" width="19.3796296296296" customWidth="1"/>
  </cols>
  <sheetData>
    <row r="1" spans="1:1">
      <c r="A1" s="3" t="s">
        <v>824</v>
      </c>
    </row>
    <row r="2" ht="24" spans="1:7">
      <c r="A2" s="114" t="s">
        <v>825</v>
      </c>
      <c r="B2" s="114"/>
      <c r="C2" s="115"/>
      <c r="D2" s="115"/>
      <c r="E2" s="115"/>
      <c r="F2" s="115"/>
      <c r="G2" s="115"/>
    </row>
    <row r="3" ht="15.6" spans="1:2">
      <c r="A3" s="102"/>
      <c r="B3" s="103" t="s">
        <v>2</v>
      </c>
    </row>
    <row r="4" ht="17.4" spans="1:2">
      <c r="A4" s="106" t="s">
        <v>826</v>
      </c>
      <c r="B4" s="106"/>
    </row>
    <row r="5" ht="17.4" spans="1:2">
      <c r="A5" s="106" t="s">
        <v>827</v>
      </c>
      <c r="B5" s="107" t="s">
        <v>828</v>
      </c>
    </row>
    <row r="6" ht="17.4" spans="1:2">
      <c r="A6" s="108" t="s">
        <v>829</v>
      </c>
      <c r="B6" s="109">
        <v>0</v>
      </c>
    </row>
    <row r="7" ht="17.4" spans="1:2">
      <c r="A7" s="108" t="s">
        <v>830</v>
      </c>
      <c r="B7" s="109">
        <v>0</v>
      </c>
    </row>
    <row r="8" ht="17.4" spans="1:2">
      <c r="A8" s="108" t="s">
        <v>831</v>
      </c>
      <c r="B8" s="109">
        <v>0</v>
      </c>
    </row>
    <row r="9" ht="17.4" spans="1:2">
      <c r="A9" s="108" t="s">
        <v>832</v>
      </c>
      <c r="B9" s="109">
        <v>0</v>
      </c>
    </row>
    <row r="10" ht="17.4" spans="1:2">
      <c r="A10" s="108" t="s">
        <v>833</v>
      </c>
      <c r="B10" s="109">
        <v>0</v>
      </c>
    </row>
    <row r="11" ht="17.4" spans="1:2">
      <c r="A11" s="108" t="s">
        <v>834</v>
      </c>
      <c r="B11" s="109">
        <v>0</v>
      </c>
    </row>
    <row r="12" ht="17.4" spans="1:2">
      <c r="A12" s="108" t="s">
        <v>835</v>
      </c>
      <c r="B12" s="109">
        <f>SUM(B13:B15)</f>
        <v>318</v>
      </c>
    </row>
    <row r="13" ht="17.4" spans="1:2">
      <c r="A13" s="108" t="s">
        <v>836</v>
      </c>
      <c r="B13" s="109">
        <v>318</v>
      </c>
    </row>
    <row r="14" ht="17.4" spans="1:2">
      <c r="A14" s="108" t="s">
        <v>837</v>
      </c>
      <c r="B14" s="109">
        <v>0</v>
      </c>
    </row>
    <row r="15" ht="17.4" spans="1:2">
      <c r="A15" s="108" t="s">
        <v>838</v>
      </c>
      <c r="B15" s="109">
        <v>0</v>
      </c>
    </row>
    <row r="16" ht="17.4" spans="1:2">
      <c r="A16" s="108" t="s">
        <v>839</v>
      </c>
      <c r="B16" s="109">
        <v>0</v>
      </c>
    </row>
    <row r="17" ht="17.4" spans="1:2">
      <c r="A17" s="108" t="s">
        <v>840</v>
      </c>
      <c r="B17" s="109">
        <v>0</v>
      </c>
    </row>
    <row r="18" ht="17.4" spans="1:2">
      <c r="A18" s="108" t="s">
        <v>841</v>
      </c>
      <c r="B18" s="109">
        <v>0</v>
      </c>
    </row>
    <row r="19" ht="17.4" spans="1:2">
      <c r="A19" s="108" t="s">
        <v>842</v>
      </c>
      <c r="B19" s="109">
        <f>SUM(B20:B28)</f>
        <v>58478.7</v>
      </c>
    </row>
    <row r="20" ht="17.4" spans="1:2">
      <c r="A20" s="108" t="s">
        <v>843</v>
      </c>
      <c r="B20" s="109">
        <f>52207.8+6216</f>
        <v>58423.8</v>
      </c>
    </row>
    <row r="21" ht="17.4" spans="1:2">
      <c r="A21" s="108" t="s">
        <v>844</v>
      </c>
      <c r="B21" s="109">
        <v>0</v>
      </c>
    </row>
    <row r="22" ht="17.4" spans="1:2">
      <c r="A22" s="108" t="s">
        <v>845</v>
      </c>
      <c r="B22" s="109">
        <v>0</v>
      </c>
    </row>
    <row r="23" ht="17.4" spans="1:2">
      <c r="A23" s="108" t="s">
        <v>846</v>
      </c>
      <c r="B23" s="109">
        <v>54.9</v>
      </c>
    </row>
    <row r="24" ht="17.4" spans="1:2">
      <c r="A24" s="108" t="s">
        <v>847</v>
      </c>
      <c r="B24" s="109">
        <v>0</v>
      </c>
    </row>
    <row r="25" ht="17.4" spans="1:2">
      <c r="A25" s="108" t="s">
        <v>848</v>
      </c>
      <c r="B25" s="109">
        <v>0</v>
      </c>
    </row>
    <row r="26" ht="17.4" spans="1:2">
      <c r="A26" s="108" t="s">
        <v>849</v>
      </c>
      <c r="B26" s="109">
        <v>0</v>
      </c>
    </row>
    <row r="27" ht="17.4" spans="1:2">
      <c r="A27" s="108" t="s">
        <v>850</v>
      </c>
      <c r="B27" s="109">
        <v>0</v>
      </c>
    </row>
    <row r="28" ht="17.4" spans="1:2">
      <c r="A28" s="108" t="s">
        <v>851</v>
      </c>
      <c r="B28" s="109">
        <v>0</v>
      </c>
    </row>
    <row r="29" ht="17.4" spans="1:2">
      <c r="A29" s="108" t="s">
        <v>852</v>
      </c>
      <c r="B29" s="109">
        <f>SUM(B30:B34)</f>
        <v>0</v>
      </c>
    </row>
    <row r="30" ht="17.4" spans="1:2">
      <c r="A30" s="111" t="s">
        <v>853</v>
      </c>
      <c r="B30" s="109">
        <v>0</v>
      </c>
    </row>
    <row r="31" ht="17.4" spans="1:2">
      <c r="A31" s="111" t="s">
        <v>854</v>
      </c>
      <c r="B31" s="109">
        <v>0</v>
      </c>
    </row>
    <row r="32" ht="17.4" spans="1:2">
      <c r="A32" s="111" t="s">
        <v>855</v>
      </c>
      <c r="B32" s="109">
        <v>0</v>
      </c>
    </row>
    <row r="33" ht="17.4" spans="1:2">
      <c r="A33" s="111" t="s">
        <v>856</v>
      </c>
      <c r="B33" s="109">
        <v>0</v>
      </c>
    </row>
    <row r="34" ht="17.4" spans="1:2">
      <c r="A34" s="111" t="s">
        <v>857</v>
      </c>
      <c r="B34" s="109">
        <v>0</v>
      </c>
    </row>
    <row r="35" ht="17.4" spans="1:2">
      <c r="A35" s="108" t="s">
        <v>858</v>
      </c>
      <c r="B35" s="109">
        <v>0</v>
      </c>
    </row>
    <row r="36" ht="17.4" spans="1:2">
      <c r="A36" s="111" t="s">
        <v>859</v>
      </c>
      <c r="B36" s="109">
        <v>0</v>
      </c>
    </row>
    <row r="37" ht="17.4" spans="1:2">
      <c r="A37" s="111" t="s">
        <v>860</v>
      </c>
      <c r="B37" s="109">
        <v>0</v>
      </c>
    </row>
    <row r="38" ht="17.4" spans="1:2">
      <c r="A38" s="111" t="s">
        <v>861</v>
      </c>
      <c r="B38" s="109">
        <v>0</v>
      </c>
    </row>
    <row r="39" ht="17.4" spans="1:2">
      <c r="A39" s="111" t="s">
        <v>862</v>
      </c>
      <c r="B39" s="109">
        <v>0</v>
      </c>
    </row>
    <row r="40" ht="17.4" spans="1:2">
      <c r="A40" s="111" t="s">
        <v>863</v>
      </c>
      <c r="B40" s="109">
        <v>0</v>
      </c>
    </row>
    <row r="41" ht="17.4" spans="1:2">
      <c r="A41" s="111" t="s">
        <v>864</v>
      </c>
      <c r="B41" s="109">
        <v>0</v>
      </c>
    </row>
    <row r="42" ht="17.4" spans="1:2">
      <c r="A42" s="111" t="s">
        <v>865</v>
      </c>
      <c r="B42" s="109">
        <v>0</v>
      </c>
    </row>
    <row r="43" ht="17.4" spans="1:2">
      <c r="A43" s="111" t="s">
        <v>866</v>
      </c>
      <c r="B43" s="109">
        <v>0</v>
      </c>
    </row>
    <row r="44" ht="17.4" spans="1:2">
      <c r="A44" s="111" t="s">
        <v>867</v>
      </c>
      <c r="B44" s="109">
        <v>0</v>
      </c>
    </row>
    <row r="45" ht="17.4" spans="1:2">
      <c r="A45" s="111" t="s">
        <v>868</v>
      </c>
      <c r="B45" s="109">
        <v>0</v>
      </c>
    </row>
    <row r="46" ht="17.4" spans="1:2">
      <c r="A46" s="108" t="s">
        <v>869</v>
      </c>
      <c r="B46" s="109">
        <v>0</v>
      </c>
    </row>
    <row r="47" ht="17.4" spans="1:2">
      <c r="A47" s="111" t="s">
        <v>870</v>
      </c>
      <c r="B47" s="109">
        <v>0</v>
      </c>
    </row>
    <row r="48" ht="17.4" spans="1:2">
      <c r="A48" s="108" t="s">
        <v>871</v>
      </c>
      <c r="B48" s="109">
        <v>0</v>
      </c>
    </row>
    <row r="49" ht="17.4" spans="1:2">
      <c r="A49" s="108" t="s">
        <v>872</v>
      </c>
      <c r="B49" s="109">
        <v>0</v>
      </c>
    </row>
    <row r="50" ht="17.4" spans="1:2">
      <c r="A50" s="108" t="s">
        <v>873</v>
      </c>
      <c r="B50" s="109">
        <f>SUM(B51:B53)</f>
        <v>269.3</v>
      </c>
    </row>
    <row r="51" ht="17.4" spans="1:2">
      <c r="A51" s="111" t="s">
        <v>874</v>
      </c>
      <c r="B51" s="109">
        <v>0</v>
      </c>
    </row>
    <row r="52" ht="17.4" spans="1:2">
      <c r="A52" s="111" t="s">
        <v>875</v>
      </c>
      <c r="B52" s="109">
        <v>0</v>
      </c>
    </row>
    <row r="53" ht="17.4" spans="1:2">
      <c r="A53" s="111" t="s">
        <v>876</v>
      </c>
      <c r="B53" s="109">
        <f>241.3+3+25</f>
        <v>269.3</v>
      </c>
    </row>
    <row r="54" ht="17.4" spans="1:2">
      <c r="A54" s="112" t="s">
        <v>877</v>
      </c>
      <c r="B54" s="109">
        <f>B6+B8+B12+B16+B19+B29+B35+B46+B48+B50</f>
        <v>59066</v>
      </c>
    </row>
    <row r="55" ht="17.4" spans="1:2">
      <c r="A55" s="111" t="s">
        <v>878</v>
      </c>
      <c r="B55" s="109"/>
    </row>
    <row r="56" ht="17.4" spans="1:2">
      <c r="A56" s="111" t="s">
        <v>879</v>
      </c>
      <c r="B56" s="109">
        <v>46558</v>
      </c>
    </row>
    <row r="57" ht="17.4" spans="1:2">
      <c r="A57" s="111" t="s">
        <v>880</v>
      </c>
      <c r="B57" s="109"/>
    </row>
    <row r="58" ht="17.4" spans="1:2">
      <c r="A58" s="111" t="s">
        <v>881</v>
      </c>
      <c r="B58" s="109"/>
    </row>
    <row r="59" ht="17.4" spans="1:2">
      <c r="A59" s="111" t="s">
        <v>882</v>
      </c>
      <c r="B59" s="109"/>
    </row>
    <row r="60" ht="17.4" spans="1:2">
      <c r="A60" s="111" t="s">
        <v>883</v>
      </c>
      <c r="B60" s="109"/>
    </row>
    <row r="61" ht="17.4" spans="1:2">
      <c r="A61" s="111" t="s">
        <v>884</v>
      </c>
      <c r="B61" s="109">
        <v>5011</v>
      </c>
    </row>
    <row r="62" ht="17.4" spans="1:2">
      <c r="A62" s="111" t="s">
        <v>885</v>
      </c>
      <c r="B62" s="109"/>
    </row>
    <row r="63" ht="17.4" spans="1:2">
      <c r="A63" s="106" t="s">
        <v>886</v>
      </c>
      <c r="B63" s="109">
        <f>SUM(B54:B62)</f>
        <v>110635</v>
      </c>
    </row>
  </sheetData>
  <mergeCells count="2">
    <mergeCell ref="A2:B2"/>
    <mergeCell ref="A4:B4"/>
  </mergeCells>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4"/>
  <sheetViews>
    <sheetView workbookViewId="0">
      <selection activeCell="A1" sqref="A1"/>
    </sheetView>
  </sheetViews>
  <sheetFormatPr defaultColWidth="8.88888888888889" defaultRowHeight="14.4" outlineLevelCol="3"/>
  <cols>
    <col min="1" max="1" width="66.75" customWidth="1"/>
    <col min="2" max="2" width="19.1296296296296" customWidth="1"/>
    <col min="3" max="3" width="77.1296296296296" customWidth="1"/>
    <col min="4" max="4" width="19.3796296296296" customWidth="1"/>
  </cols>
  <sheetData>
    <row r="1" spans="1:1">
      <c r="A1" s="3" t="s">
        <v>887</v>
      </c>
    </row>
    <row r="2" ht="24" spans="1:4">
      <c r="A2" s="100" t="s">
        <v>888</v>
      </c>
      <c r="B2" s="100"/>
      <c r="C2" s="100"/>
      <c r="D2" s="100"/>
    </row>
    <row r="3" ht="15.6" spans="1:4">
      <c r="A3" s="101"/>
      <c r="B3" s="102"/>
      <c r="C3" s="102"/>
      <c r="D3" s="103" t="s">
        <v>2</v>
      </c>
    </row>
    <row r="4" ht="17.4" spans="1:4">
      <c r="A4" s="104" t="s">
        <v>889</v>
      </c>
      <c r="B4" s="105"/>
      <c r="C4" s="106" t="s">
        <v>826</v>
      </c>
      <c r="D4" s="106"/>
    </row>
    <row r="5" ht="17.4" spans="1:4">
      <c r="A5" s="106" t="s">
        <v>827</v>
      </c>
      <c r="B5" s="107" t="s">
        <v>679</v>
      </c>
      <c r="C5" s="106" t="s">
        <v>827</v>
      </c>
      <c r="D5" s="107" t="s">
        <v>679</v>
      </c>
    </row>
    <row r="6" ht="17.4" spans="1:4">
      <c r="A6" s="108" t="s">
        <v>890</v>
      </c>
      <c r="B6" s="109">
        <v>0</v>
      </c>
      <c r="C6" s="108" t="s">
        <v>829</v>
      </c>
      <c r="D6" s="109">
        <v>0</v>
      </c>
    </row>
    <row r="7" ht="17.4" spans="1:4">
      <c r="A7" s="108" t="s">
        <v>891</v>
      </c>
      <c r="B7" s="109">
        <v>0</v>
      </c>
      <c r="C7" s="108" t="s">
        <v>830</v>
      </c>
      <c r="D7" s="109">
        <v>0</v>
      </c>
    </row>
    <row r="8" ht="17.4" spans="1:4">
      <c r="A8" s="108" t="s">
        <v>892</v>
      </c>
      <c r="B8" s="109">
        <v>0</v>
      </c>
      <c r="C8" s="108" t="s">
        <v>831</v>
      </c>
      <c r="D8" s="109">
        <v>0</v>
      </c>
    </row>
    <row r="9" ht="17.4" spans="1:4">
      <c r="A9" s="108" t="s">
        <v>893</v>
      </c>
      <c r="B9" s="109">
        <v>0</v>
      </c>
      <c r="C9" s="108" t="s">
        <v>832</v>
      </c>
      <c r="D9" s="109">
        <v>0</v>
      </c>
    </row>
    <row r="10" ht="17.4" spans="1:4">
      <c r="A10" s="108" t="s">
        <v>894</v>
      </c>
      <c r="B10" s="109">
        <v>0</v>
      </c>
      <c r="C10" s="108" t="s">
        <v>833</v>
      </c>
      <c r="D10" s="109">
        <v>0</v>
      </c>
    </row>
    <row r="11" ht="17.4" spans="1:4">
      <c r="A11" s="108" t="s">
        <v>895</v>
      </c>
      <c r="B11" s="109">
        <v>0</v>
      </c>
      <c r="C11" s="108" t="s">
        <v>834</v>
      </c>
      <c r="D11" s="109">
        <v>0</v>
      </c>
    </row>
    <row r="12" ht="17.4" spans="1:4">
      <c r="A12" s="108" t="s">
        <v>896</v>
      </c>
      <c r="B12" s="109">
        <v>0</v>
      </c>
      <c r="C12" s="108" t="s">
        <v>835</v>
      </c>
      <c r="D12" s="109">
        <v>0</v>
      </c>
    </row>
    <row r="13" ht="17.4" spans="1:4">
      <c r="A13" s="108" t="s">
        <v>897</v>
      </c>
      <c r="B13" s="109">
        <v>0</v>
      </c>
      <c r="C13" s="108" t="s">
        <v>836</v>
      </c>
      <c r="D13" s="109">
        <v>0</v>
      </c>
    </row>
    <row r="14" ht="17.4" spans="1:4">
      <c r="A14" s="108" t="s">
        <v>898</v>
      </c>
      <c r="B14" s="109">
        <v>0</v>
      </c>
      <c r="C14" s="108" t="s">
        <v>837</v>
      </c>
      <c r="D14" s="109">
        <v>0</v>
      </c>
    </row>
    <row r="15" ht="17.4" spans="1:4">
      <c r="A15" s="108" t="s">
        <v>899</v>
      </c>
      <c r="B15" s="109">
        <v>0</v>
      </c>
      <c r="C15" s="108" t="s">
        <v>838</v>
      </c>
      <c r="D15" s="109">
        <v>0</v>
      </c>
    </row>
    <row r="16" ht="17.4" spans="1:4">
      <c r="A16" s="108" t="s">
        <v>900</v>
      </c>
      <c r="B16" s="109">
        <v>0</v>
      </c>
      <c r="C16" s="108" t="s">
        <v>839</v>
      </c>
      <c r="D16" s="109">
        <v>0</v>
      </c>
    </row>
    <row r="17" ht="17.4" spans="1:4">
      <c r="A17" s="108" t="s">
        <v>901</v>
      </c>
      <c r="B17" s="109">
        <v>0</v>
      </c>
      <c r="C17" s="108" t="s">
        <v>840</v>
      </c>
      <c r="D17" s="109">
        <v>0</v>
      </c>
    </row>
    <row r="18" ht="17.4" spans="1:4">
      <c r="A18" s="108" t="s">
        <v>902</v>
      </c>
      <c r="B18" s="109">
        <v>0</v>
      </c>
      <c r="C18" s="108" t="s">
        <v>841</v>
      </c>
      <c r="D18" s="109">
        <v>0</v>
      </c>
    </row>
    <row r="19" ht="17.4" spans="1:4">
      <c r="A19" s="108" t="s">
        <v>903</v>
      </c>
      <c r="B19" s="109">
        <v>0</v>
      </c>
      <c r="C19" s="108" t="s">
        <v>842</v>
      </c>
      <c r="D19" s="109">
        <v>0</v>
      </c>
    </row>
    <row r="20" ht="17.4" spans="1:4">
      <c r="A20" s="108" t="s">
        <v>904</v>
      </c>
      <c r="B20" s="109">
        <v>0</v>
      </c>
      <c r="C20" s="108" t="s">
        <v>843</v>
      </c>
      <c r="D20" s="109">
        <v>0</v>
      </c>
    </row>
    <row r="21" ht="17.4" spans="1:4">
      <c r="A21" s="108" t="s">
        <v>905</v>
      </c>
      <c r="B21" s="109">
        <v>0</v>
      </c>
      <c r="C21" s="108" t="s">
        <v>844</v>
      </c>
      <c r="D21" s="109">
        <v>0</v>
      </c>
    </row>
    <row r="22" ht="17.4" spans="1:4">
      <c r="A22" s="108" t="s">
        <v>906</v>
      </c>
      <c r="B22" s="109">
        <v>0</v>
      </c>
      <c r="C22" s="108" t="s">
        <v>845</v>
      </c>
      <c r="D22" s="109">
        <v>0</v>
      </c>
    </row>
    <row r="23" ht="17.4" spans="1:4">
      <c r="A23" s="108" t="s">
        <v>907</v>
      </c>
      <c r="B23" s="109">
        <v>0</v>
      </c>
      <c r="C23" s="108" t="s">
        <v>846</v>
      </c>
      <c r="D23" s="109">
        <v>0</v>
      </c>
    </row>
    <row r="24" ht="17.4" spans="1:4">
      <c r="A24" s="108" t="s">
        <v>908</v>
      </c>
      <c r="B24" s="109">
        <v>0</v>
      </c>
      <c r="C24" s="108" t="s">
        <v>847</v>
      </c>
      <c r="D24" s="109">
        <v>0</v>
      </c>
    </row>
    <row r="25" ht="17.4" spans="1:4">
      <c r="A25" s="108" t="s">
        <v>909</v>
      </c>
      <c r="B25" s="109">
        <v>0</v>
      </c>
      <c r="C25" s="108" t="s">
        <v>848</v>
      </c>
      <c r="D25" s="109">
        <v>0</v>
      </c>
    </row>
    <row r="26" ht="17.4" spans="1:4">
      <c r="A26" s="108" t="s">
        <v>910</v>
      </c>
      <c r="B26" s="109">
        <v>0</v>
      </c>
      <c r="C26" s="108" t="s">
        <v>849</v>
      </c>
      <c r="D26" s="109">
        <v>0</v>
      </c>
    </row>
    <row r="27" ht="17.4" spans="1:4">
      <c r="A27" s="108" t="s">
        <v>911</v>
      </c>
      <c r="B27" s="109">
        <v>0</v>
      </c>
      <c r="C27" s="108" t="s">
        <v>850</v>
      </c>
      <c r="D27" s="109">
        <v>0</v>
      </c>
    </row>
    <row r="28" ht="17.4" spans="1:4">
      <c r="A28" s="108" t="s">
        <v>912</v>
      </c>
      <c r="B28" s="109">
        <v>0</v>
      </c>
      <c r="C28" s="108" t="s">
        <v>851</v>
      </c>
      <c r="D28" s="109">
        <v>0</v>
      </c>
    </row>
    <row r="29" ht="17.4" spans="1:4">
      <c r="A29" s="110" t="s">
        <v>913</v>
      </c>
      <c r="B29" s="109">
        <v>0</v>
      </c>
      <c r="C29" s="108" t="s">
        <v>852</v>
      </c>
      <c r="D29" s="109">
        <v>0</v>
      </c>
    </row>
    <row r="30" ht="17.4" spans="1:4">
      <c r="A30" s="110" t="s">
        <v>914</v>
      </c>
      <c r="B30" s="109">
        <v>0</v>
      </c>
      <c r="C30" s="111" t="s">
        <v>853</v>
      </c>
      <c r="D30" s="109">
        <v>0</v>
      </c>
    </row>
    <row r="31" ht="17.4" spans="1:4">
      <c r="A31" s="110"/>
      <c r="B31" s="109"/>
      <c r="C31" s="111" t="s">
        <v>854</v>
      </c>
      <c r="D31" s="109">
        <v>0</v>
      </c>
    </row>
    <row r="32" ht="17.4" spans="1:4">
      <c r="A32" s="110"/>
      <c r="B32" s="109"/>
      <c r="C32" s="111" t="s">
        <v>855</v>
      </c>
      <c r="D32" s="109">
        <v>0</v>
      </c>
    </row>
    <row r="33" ht="17.4" spans="1:4">
      <c r="A33" s="110"/>
      <c r="B33" s="109"/>
      <c r="C33" s="111" t="s">
        <v>856</v>
      </c>
      <c r="D33" s="109">
        <v>0</v>
      </c>
    </row>
    <row r="34" ht="17.4" spans="1:4">
      <c r="A34" s="110"/>
      <c r="B34" s="109"/>
      <c r="C34" s="111" t="s">
        <v>857</v>
      </c>
      <c r="D34" s="109">
        <v>0</v>
      </c>
    </row>
    <row r="35" ht="17.4" spans="1:4">
      <c r="A35" s="108"/>
      <c r="B35" s="109"/>
      <c r="C35" s="108" t="s">
        <v>858</v>
      </c>
      <c r="D35" s="109">
        <v>0</v>
      </c>
    </row>
    <row r="36" ht="17.4" spans="1:4">
      <c r="A36" s="108"/>
      <c r="B36" s="109"/>
      <c r="C36" s="111" t="s">
        <v>859</v>
      </c>
      <c r="D36" s="109">
        <v>0</v>
      </c>
    </row>
    <row r="37" ht="17.4" spans="1:4">
      <c r="A37" s="108"/>
      <c r="B37" s="109"/>
      <c r="C37" s="111" t="s">
        <v>860</v>
      </c>
      <c r="D37" s="109">
        <v>0</v>
      </c>
    </row>
    <row r="38" ht="17.4" spans="1:4">
      <c r="A38" s="108"/>
      <c r="B38" s="109"/>
      <c r="C38" s="111" t="s">
        <v>861</v>
      </c>
      <c r="D38" s="109">
        <v>0</v>
      </c>
    </row>
    <row r="39" ht="17.4" spans="1:4">
      <c r="A39" s="110"/>
      <c r="B39" s="109"/>
      <c r="C39" s="111" t="s">
        <v>862</v>
      </c>
      <c r="D39" s="109">
        <v>0</v>
      </c>
    </row>
    <row r="40" ht="17.4" spans="1:4">
      <c r="A40" s="108"/>
      <c r="B40" s="109"/>
      <c r="C40" s="111" t="s">
        <v>863</v>
      </c>
      <c r="D40" s="109">
        <v>0</v>
      </c>
    </row>
    <row r="41" ht="17.4" spans="1:4">
      <c r="A41" s="110"/>
      <c r="B41" s="109"/>
      <c r="C41" s="111" t="s">
        <v>864</v>
      </c>
      <c r="D41" s="109">
        <v>0</v>
      </c>
    </row>
    <row r="42" ht="17.4" spans="1:4">
      <c r="A42" s="110"/>
      <c r="B42" s="109"/>
      <c r="C42" s="111" t="s">
        <v>865</v>
      </c>
      <c r="D42" s="109">
        <v>0</v>
      </c>
    </row>
    <row r="43" ht="17.4" spans="1:4">
      <c r="A43" s="110"/>
      <c r="B43" s="109"/>
      <c r="C43" s="111" t="s">
        <v>866</v>
      </c>
      <c r="D43" s="109">
        <v>0</v>
      </c>
    </row>
    <row r="44" ht="17.4" spans="1:4">
      <c r="A44" s="108"/>
      <c r="B44" s="109"/>
      <c r="C44" s="111" t="s">
        <v>867</v>
      </c>
      <c r="D44" s="109">
        <v>0</v>
      </c>
    </row>
    <row r="45" ht="17.4" spans="1:4">
      <c r="A45" s="108"/>
      <c r="B45" s="109"/>
      <c r="C45" s="111" t="s">
        <v>868</v>
      </c>
      <c r="D45" s="109">
        <v>0</v>
      </c>
    </row>
    <row r="46" ht="17.4" spans="1:4">
      <c r="A46" s="108"/>
      <c r="B46" s="109"/>
      <c r="C46" s="108" t="s">
        <v>869</v>
      </c>
      <c r="D46" s="109">
        <v>0</v>
      </c>
    </row>
    <row r="47" ht="17.4" spans="1:4">
      <c r="A47" s="110"/>
      <c r="B47" s="109"/>
      <c r="C47" s="111" t="s">
        <v>870</v>
      </c>
      <c r="D47" s="109">
        <v>0</v>
      </c>
    </row>
    <row r="48" ht="17.4" spans="1:4">
      <c r="A48" s="108"/>
      <c r="B48" s="109"/>
      <c r="C48" s="108" t="s">
        <v>871</v>
      </c>
      <c r="D48" s="109">
        <v>0</v>
      </c>
    </row>
    <row r="49" ht="17.4" spans="1:4">
      <c r="A49" s="108"/>
      <c r="B49" s="109"/>
      <c r="C49" s="108" t="s">
        <v>872</v>
      </c>
      <c r="D49" s="109">
        <v>0</v>
      </c>
    </row>
    <row r="50" ht="17.4" spans="1:4">
      <c r="A50" s="110"/>
      <c r="B50" s="109"/>
      <c r="C50" s="108" t="s">
        <v>873</v>
      </c>
      <c r="D50" s="109">
        <v>0</v>
      </c>
    </row>
    <row r="51" ht="17.4" spans="1:4">
      <c r="A51" s="108"/>
      <c r="B51" s="109"/>
      <c r="C51" s="111" t="s">
        <v>874</v>
      </c>
      <c r="D51" s="109">
        <v>0</v>
      </c>
    </row>
    <row r="52" ht="17.4" spans="1:4">
      <c r="A52" s="108"/>
      <c r="B52" s="109"/>
      <c r="C52" s="111" t="s">
        <v>875</v>
      </c>
      <c r="D52" s="109">
        <v>0</v>
      </c>
    </row>
    <row r="53" ht="17.4" spans="1:4">
      <c r="A53" s="108"/>
      <c r="B53" s="109"/>
      <c r="C53" s="111" t="s">
        <v>876</v>
      </c>
      <c r="D53" s="109">
        <v>0</v>
      </c>
    </row>
    <row r="54" ht="17.4" spans="1:4">
      <c r="A54" s="112" t="s">
        <v>819</v>
      </c>
      <c r="B54" s="109">
        <v>0</v>
      </c>
      <c r="C54" s="112" t="s">
        <v>877</v>
      </c>
      <c r="D54" s="109">
        <v>0</v>
      </c>
    </row>
    <row r="55" ht="17.4" spans="1:4">
      <c r="A55" s="111" t="s">
        <v>644</v>
      </c>
      <c r="B55" s="109"/>
      <c r="C55" s="111" t="s">
        <v>878</v>
      </c>
      <c r="D55" s="109">
        <v>0</v>
      </c>
    </row>
    <row r="56" ht="17.4" spans="1:4">
      <c r="A56" s="111" t="s">
        <v>820</v>
      </c>
      <c r="B56" s="109">
        <v>0</v>
      </c>
      <c r="C56" s="111" t="s">
        <v>879</v>
      </c>
      <c r="D56" s="109"/>
    </row>
    <row r="57" ht="17.4" spans="1:4">
      <c r="A57" s="111" t="s">
        <v>821</v>
      </c>
      <c r="B57" s="109">
        <v>0</v>
      </c>
      <c r="C57" s="111" t="s">
        <v>880</v>
      </c>
      <c r="D57" s="109"/>
    </row>
    <row r="58" ht="17.4" spans="1:4">
      <c r="A58" s="111" t="s">
        <v>822</v>
      </c>
      <c r="B58" s="109">
        <v>0</v>
      </c>
      <c r="C58" s="111" t="s">
        <v>881</v>
      </c>
      <c r="D58" s="109"/>
    </row>
    <row r="59" ht="17.4" spans="1:4">
      <c r="A59" s="111"/>
      <c r="B59" s="109"/>
      <c r="C59" s="111" t="s">
        <v>882</v>
      </c>
      <c r="D59" s="109"/>
    </row>
    <row r="60" ht="17.4" spans="1:4">
      <c r="A60" s="111"/>
      <c r="B60" s="109"/>
      <c r="C60" s="111" t="s">
        <v>883</v>
      </c>
      <c r="D60" s="109"/>
    </row>
    <row r="61" ht="17.4" spans="1:4">
      <c r="A61" s="111"/>
      <c r="B61" s="109"/>
      <c r="C61" s="111" t="s">
        <v>884</v>
      </c>
      <c r="D61" s="109">
        <v>0</v>
      </c>
    </row>
    <row r="62" ht="17.4" spans="1:4">
      <c r="A62" s="111"/>
      <c r="B62" s="109"/>
      <c r="C62" s="111" t="s">
        <v>885</v>
      </c>
      <c r="D62" s="109"/>
    </row>
    <row r="63" ht="17.4" spans="1:4">
      <c r="A63" s="106" t="s">
        <v>915</v>
      </c>
      <c r="B63" s="109">
        <f>SUM(B55:B60)</f>
        <v>0</v>
      </c>
      <c r="C63" s="106" t="s">
        <v>886</v>
      </c>
      <c r="D63" s="109">
        <f>SUM(D54:D62)</f>
        <v>0</v>
      </c>
    </row>
    <row r="64" ht="17.4" spans="1:4">
      <c r="A64" s="113" t="s">
        <v>916</v>
      </c>
      <c r="B64" s="113"/>
      <c r="C64" s="113"/>
      <c r="D64" s="113"/>
    </row>
  </sheetData>
  <mergeCells count="4">
    <mergeCell ref="A2:D2"/>
    <mergeCell ref="A4:B4"/>
    <mergeCell ref="C4:D4"/>
    <mergeCell ref="A64:D64"/>
  </mergeCells>
  <pageMargins left="0.75" right="0.75" top="1" bottom="1" header="0.511805555555556" footer="0.511805555555556"/>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2"/>
  <sheetViews>
    <sheetView workbookViewId="0">
      <selection activeCell="A1" sqref="A1"/>
    </sheetView>
  </sheetViews>
  <sheetFormatPr defaultColWidth="8.88888888888889" defaultRowHeight="14.4" outlineLevelCol="1"/>
  <cols>
    <col min="1" max="1" width="62.1111111111111" customWidth="1"/>
    <col min="2" max="2" width="19.1296296296296" customWidth="1"/>
  </cols>
  <sheetData>
    <row r="1" spans="1:1">
      <c r="A1" s="3" t="s">
        <v>917</v>
      </c>
    </row>
    <row r="2" ht="24" spans="1:2">
      <c r="A2" s="86" t="s">
        <v>918</v>
      </c>
      <c r="B2" s="86"/>
    </row>
    <row r="3" ht="15.6" spans="1:2">
      <c r="A3" s="87"/>
      <c r="B3" s="88" t="s">
        <v>2</v>
      </c>
    </row>
    <row r="4" ht="17.4" spans="1:2">
      <c r="A4" s="96" t="s">
        <v>919</v>
      </c>
      <c r="B4" s="97"/>
    </row>
    <row r="5" ht="17.4" spans="1:2">
      <c r="A5" s="90" t="s">
        <v>920</v>
      </c>
      <c r="B5" s="91" t="s">
        <v>921</v>
      </c>
    </row>
    <row r="6" ht="17.4" spans="1:2">
      <c r="A6" s="92" t="s">
        <v>922</v>
      </c>
      <c r="B6" s="94">
        <v>0</v>
      </c>
    </row>
    <row r="7" ht="17.4" spans="1:2">
      <c r="A7" s="92" t="s">
        <v>923</v>
      </c>
      <c r="B7" s="94">
        <v>0</v>
      </c>
    </row>
    <row r="8" ht="17.4" spans="1:2">
      <c r="A8" s="92" t="s">
        <v>924</v>
      </c>
      <c r="B8" s="94">
        <v>0</v>
      </c>
    </row>
    <row r="9" ht="17.4" spans="1:2">
      <c r="A9" s="92" t="s">
        <v>925</v>
      </c>
      <c r="B9" s="94">
        <v>0</v>
      </c>
    </row>
    <row r="10" ht="17.4" spans="1:2">
      <c r="A10" s="92" t="s">
        <v>926</v>
      </c>
      <c r="B10" s="94">
        <v>0</v>
      </c>
    </row>
    <row r="11" ht="18" spans="1:2">
      <c r="A11" s="98" t="s">
        <v>927</v>
      </c>
      <c r="B11" s="94">
        <v>0</v>
      </c>
    </row>
    <row r="12" ht="18" spans="1:2">
      <c r="A12" s="98" t="s">
        <v>928</v>
      </c>
      <c r="B12" s="94">
        <v>0</v>
      </c>
    </row>
    <row r="13" ht="18" spans="1:2">
      <c r="A13" s="99" t="s">
        <v>929</v>
      </c>
      <c r="B13" s="94">
        <v>0</v>
      </c>
    </row>
    <row r="14" ht="17.4" spans="1:2">
      <c r="A14" s="92" t="s">
        <v>930</v>
      </c>
      <c r="B14" s="94">
        <v>0</v>
      </c>
    </row>
    <row r="15" ht="17.4" spans="1:2">
      <c r="A15" s="92" t="s">
        <v>931</v>
      </c>
      <c r="B15" s="94">
        <v>0</v>
      </c>
    </row>
    <row r="16" ht="17.4" spans="1:2">
      <c r="A16" s="92" t="s">
        <v>932</v>
      </c>
      <c r="B16" s="94">
        <v>0</v>
      </c>
    </row>
    <row r="17" ht="17.4" spans="1:2">
      <c r="A17" s="89" t="s">
        <v>933</v>
      </c>
      <c r="B17" s="93">
        <v>0</v>
      </c>
    </row>
    <row r="18" ht="17.4" spans="1:2">
      <c r="A18" s="92" t="s">
        <v>934</v>
      </c>
      <c r="B18" s="94">
        <v>0</v>
      </c>
    </row>
    <row r="19" ht="17.4" spans="1:2">
      <c r="A19" s="92" t="s">
        <v>821</v>
      </c>
      <c r="B19" s="94">
        <v>0</v>
      </c>
    </row>
    <row r="20" ht="17.4" spans="1:2">
      <c r="A20" s="92" t="s">
        <v>130</v>
      </c>
      <c r="B20" s="94">
        <v>0</v>
      </c>
    </row>
    <row r="21" ht="17.4" spans="1:2">
      <c r="A21" s="89" t="s">
        <v>935</v>
      </c>
      <c r="B21" s="93">
        <v>0</v>
      </c>
    </row>
    <row r="22" ht="17.4" spans="1:2">
      <c r="A22" s="95" t="s">
        <v>936</v>
      </c>
      <c r="B22" s="95"/>
    </row>
  </sheetData>
  <mergeCells count="2">
    <mergeCell ref="A2:B2"/>
    <mergeCell ref="A4:B4"/>
  </mergeCells>
  <pageMargins left="0.75" right="0.75" top="1" bottom="1" header="0.511805555555556" footer="0.511805555555556"/>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9"/>
  <sheetViews>
    <sheetView workbookViewId="0">
      <selection activeCell="A1" sqref="A1"/>
    </sheetView>
  </sheetViews>
  <sheetFormatPr defaultColWidth="8.88888888888889" defaultRowHeight="14.4" outlineLevelCol="1"/>
  <cols>
    <col min="1" max="1" width="51.1111111111111" customWidth="1"/>
    <col min="2" max="2" width="19.6296296296296" customWidth="1"/>
  </cols>
  <sheetData>
    <row r="1" spans="1:1">
      <c r="A1" s="3" t="s">
        <v>937</v>
      </c>
    </row>
    <row r="2" ht="24" spans="1:2">
      <c r="A2" s="86" t="s">
        <v>938</v>
      </c>
      <c r="B2" s="86"/>
    </row>
    <row r="3" ht="26" customHeight="1" spans="1:2">
      <c r="A3" s="87"/>
      <c r="B3" s="88" t="s">
        <v>2</v>
      </c>
    </row>
    <row r="4" ht="33" customHeight="1" spans="1:2">
      <c r="A4" s="89" t="s">
        <v>939</v>
      </c>
      <c r="B4" s="89"/>
    </row>
    <row r="5" ht="33" customHeight="1" spans="1:2">
      <c r="A5" s="90" t="s">
        <v>920</v>
      </c>
      <c r="B5" s="91" t="s">
        <v>921</v>
      </c>
    </row>
    <row r="6" ht="33" customHeight="1" spans="1:2">
      <c r="A6" s="92" t="s">
        <v>940</v>
      </c>
      <c r="B6" s="92">
        <v>0</v>
      </c>
    </row>
    <row r="7" ht="33" customHeight="1" spans="1:2">
      <c r="A7" s="92" t="s">
        <v>941</v>
      </c>
      <c r="B7" s="92">
        <v>0</v>
      </c>
    </row>
    <row r="8" ht="33" customHeight="1" spans="1:2">
      <c r="A8" s="92" t="s">
        <v>942</v>
      </c>
      <c r="B8" s="92">
        <v>0</v>
      </c>
    </row>
    <row r="9" ht="33" customHeight="1" spans="1:2">
      <c r="A9" s="92" t="s">
        <v>943</v>
      </c>
      <c r="B9" s="92">
        <v>0</v>
      </c>
    </row>
    <row r="10" ht="33" customHeight="1" spans="1:2">
      <c r="A10" s="92" t="s">
        <v>944</v>
      </c>
      <c r="B10" s="92">
        <v>0</v>
      </c>
    </row>
    <row r="11" ht="33" customHeight="1" spans="1:2">
      <c r="A11" s="92" t="s">
        <v>945</v>
      </c>
      <c r="B11" s="92">
        <v>0</v>
      </c>
    </row>
    <row r="12" ht="33" customHeight="1" spans="1:2">
      <c r="A12" s="92" t="s">
        <v>946</v>
      </c>
      <c r="B12" s="92">
        <v>0</v>
      </c>
    </row>
    <row r="13" ht="33" customHeight="1" spans="1:2">
      <c r="A13" s="92" t="s">
        <v>947</v>
      </c>
      <c r="B13" s="92">
        <v>0</v>
      </c>
    </row>
    <row r="14" ht="33" customHeight="1" spans="1:2">
      <c r="A14" s="89" t="s">
        <v>948</v>
      </c>
      <c r="B14" s="93">
        <v>0</v>
      </c>
    </row>
    <row r="15" ht="33" customHeight="1" spans="1:2">
      <c r="A15" s="92" t="s">
        <v>949</v>
      </c>
      <c r="B15" s="94">
        <v>0</v>
      </c>
    </row>
    <row r="16" ht="33" customHeight="1" spans="1:2">
      <c r="A16" s="92" t="s">
        <v>879</v>
      </c>
      <c r="B16" s="94">
        <v>0</v>
      </c>
    </row>
    <row r="17" ht="33" customHeight="1" spans="1:2">
      <c r="A17" s="92" t="s">
        <v>950</v>
      </c>
      <c r="B17" s="94">
        <v>0</v>
      </c>
    </row>
    <row r="18" ht="33" customHeight="1" spans="1:2">
      <c r="A18" s="89" t="s">
        <v>951</v>
      </c>
      <c r="B18" s="93">
        <v>0</v>
      </c>
    </row>
    <row r="19" ht="17.4" spans="1:2">
      <c r="A19" s="95" t="s">
        <v>952</v>
      </c>
      <c r="B19" s="95"/>
    </row>
  </sheetData>
  <mergeCells count="2">
    <mergeCell ref="A2:B2"/>
    <mergeCell ref="A4:B4"/>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workbookViewId="0">
      <selection activeCell="D7" sqref="D7"/>
    </sheetView>
  </sheetViews>
  <sheetFormatPr defaultColWidth="8.88888888888889" defaultRowHeight="15.6" outlineLevelCol="5"/>
  <cols>
    <col min="1" max="1" width="53.1759259259259" style="298" customWidth="1"/>
    <col min="2" max="2" width="13.2037037037037" style="299" customWidth="1"/>
    <col min="3" max="3" width="58.7777777777778" style="299" customWidth="1"/>
    <col min="4" max="4" width="48.1759259259259" style="300" customWidth="1"/>
    <col min="5" max="5" width="15.6851851851852" style="298" customWidth="1"/>
    <col min="6" max="6" width="38.5833333333333" style="299" customWidth="1"/>
  </cols>
  <sheetData>
    <row r="1" ht="14.4" spans="1:1">
      <c r="A1" s="3" t="s">
        <v>46</v>
      </c>
    </row>
    <row r="2" ht="37.2" spans="1:6">
      <c r="A2" s="301" t="s">
        <v>47</v>
      </c>
      <c r="B2" s="302"/>
      <c r="C2" s="301"/>
      <c r="D2" s="301"/>
      <c r="E2" s="302"/>
      <c r="F2" s="301"/>
    </row>
    <row r="3" spans="1:6">
      <c r="A3" s="303"/>
      <c r="B3" s="304"/>
      <c r="C3" s="304"/>
      <c r="F3" s="207" t="s">
        <v>2</v>
      </c>
    </row>
    <row r="4" ht="20.4" spans="1:6">
      <c r="A4" s="305" t="s">
        <v>48</v>
      </c>
      <c r="B4" s="305" t="s">
        <v>49</v>
      </c>
      <c r="C4" s="305" t="s">
        <v>50</v>
      </c>
      <c r="D4" s="305" t="s">
        <v>48</v>
      </c>
      <c r="E4" s="305" t="s">
        <v>49</v>
      </c>
      <c r="F4" s="305" t="s">
        <v>50</v>
      </c>
    </row>
    <row r="5" ht="28.8" spans="1:6">
      <c r="A5" s="208" t="s">
        <v>51</v>
      </c>
      <c r="B5" s="209">
        <f>B6+B7</f>
        <v>50214</v>
      </c>
      <c r="C5" s="210"/>
      <c r="D5" s="306" t="s">
        <v>52</v>
      </c>
      <c r="E5" s="307">
        <v>6602.76</v>
      </c>
      <c r="F5" s="212" t="s">
        <v>53</v>
      </c>
    </row>
    <row r="6" ht="20.4" spans="1:6">
      <c r="A6" s="211" t="s">
        <v>43</v>
      </c>
      <c r="B6" s="209">
        <v>36989</v>
      </c>
      <c r="C6" s="210"/>
      <c r="D6" s="306" t="s">
        <v>54</v>
      </c>
      <c r="E6" s="307">
        <f>SUM(E7:E10)</f>
        <v>40859.64</v>
      </c>
      <c r="F6" s="210"/>
    </row>
    <row r="7" ht="43.2" spans="1:6">
      <c r="A7" s="211" t="s">
        <v>55</v>
      </c>
      <c r="B7" s="209">
        <v>13225</v>
      </c>
      <c r="C7" s="308" t="s">
        <v>56</v>
      </c>
      <c r="D7" s="309" t="s">
        <v>57</v>
      </c>
      <c r="E7" s="307">
        <f>E29+E11-B8-E5-B5-E9</f>
        <v>40243.64</v>
      </c>
      <c r="F7" s="310"/>
    </row>
    <row r="8" ht="20.4" spans="1:6">
      <c r="A8" s="208" t="s">
        <v>58</v>
      </c>
      <c r="B8" s="209">
        <f>B9+B13+B29</f>
        <v>67813.22</v>
      </c>
      <c r="C8" s="210"/>
      <c r="D8" s="309" t="s">
        <v>59</v>
      </c>
      <c r="E8" s="307"/>
      <c r="F8" s="210"/>
    </row>
    <row r="9" ht="20.4" spans="1:6">
      <c r="A9" s="208" t="s">
        <v>60</v>
      </c>
      <c r="B9" s="209">
        <f>SUM(B10:B12)</f>
        <v>5292</v>
      </c>
      <c r="C9" s="210"/>
      <c r="D9" s="309" t="s">
        <v>61</v>
      </c>
      <c r="E9" s="307">
        <v>616</v>
      </c>
      <c r="F9" s="210"/>
    </row>
    <row r="10" ht="20.4" spans="1:6">
      <c r="A10" s="211" t="s">
        <v>62</v>
      </c>
      <c r="B10" s="209">
        <v>2068</v>
      </c>
      <c r="C10" s="210"/>
      <c r="D10" s="309" t="s">
        <v>63</v>
      </c>
      <c r="E10" s="307"/>
      <c r="F10" s="210"/>
    </row>
    <row r="11" ht="20.4" spans="1:6">
      <c r="A11" s="211" t="s">
        <v>64</v>
      </c>
      <c r="B11" s="209">
        <v>182</v>
      </c>
      <c r="C11" s="210"/>
      <c r="D11" s="311" t="s">
        <v>65</v>
      </c>
      <c r="E11" s="312">
        <f>SUM(E12:E13)</f>
        <v>18294</v>
      </c>
      <c r="F11" s="210"/>
    </row>
    <row r="12" ht="20.4" spans="1:6">
      <c r="A12" s="211" t="s">
        <v>66</v>
      </c>
      <c r="B12" s="209">
        <v>3042</v>
      </c>
      <c r="C12" s="212" t="s">
        <v>67</v>
      </c>
      <c r="D12" s="313" t="s">
        <v>68</v>
      </c>
      <c r="E12" s="312">
        <v>98</v>
      </c>
      <c r="F12" s="210"/>
    </row>
    <row r="13" ht="20.4" spans="1:6">
      <c r="A13" s="208" t="s">
        <v>69</v>
      </c>
      <c r="B13" s="209">
        <f>SUM(B14:B21)</f>
        <v>37915</v>
      </c>
      <c r="C13" s="212"/>
      <c r="D13" s="313" t="s">
        <v>70</v>
      </c>
      <c r="E13" s="312">
        <f>E14+E21</f>
        <v>18196</v>
      </c>
      <c r="F13" s="210"/>
    </row>
    <row r="14" ht="20.4" spans="1:6">
      <c r="A14" s="211" t="s">
        <v>71</v>
      </c>
      <c r="B14" s="209"/>
      <c r="C14" s="212"/>
      <c r="D14" s="313" t="s">
        <v>72</v>
      </c>
      <c r="E14" s="312">
        <f>SUM(E15:E20)</f>
        <v>943</v>
      </c>
      <c r="F14" s="210"/>
    </row>
    <row r="15" ht="20.4" spans="1:6">
      <c r="A15" s="211" t="s">
        <v>73</v>
      </c>
      <c r="B15" s="209">
        <v>6284</v>
      </c>
      <c r="C15" s="212" t="s">
        <v>74</v>
      </c>
      <c r="D15" s="215" t="s">
        <v>75</v>
      </c>
      <c r="E15" s="314">
        <v>5</v>
      </c>
      <c r="F15" s="210"/>
    </row>
    <row r="16" ht="40.8" spans="1:6">
      <c r="A16" s="211" t="s">
        <v>76</v>
      </c>
      <c r="B16" s="209">
        <v>1122</v>
      </c>
      <c r="C16" s="212" t="s">
        <v>77</v>
      </c>
      <c r="D16" s="215" t="s">
        <v>78</v>
      </c>
      <c r="E16" s="314">
        <v>18</v>
      </c>
      <c r="F16" s="210"/>
    </row>
    <row r="17" ht="20.4" spans="1:6">
      <c r="A17" s="211" t="s">
        <v>79</v>
      </c>
      <c r="B17" s="209">
        <v>2</v>
      </c>
      <c r="C17" s="212" t="s">
        <v>80</v>
      </c>
      <c r="D17" s="215" t="s">
        <v>81</v>
      </c>
      <c r="E17" s="314">
        <v>8</v>
      </c>
      <c r="F17" s="210"/>
    </row>
    <row r="18" ht="20.4" spans="1:6">
      <c r="A18" s="211" t="s">
        <v>82</v>
      </c>
      <c r="B18" s="209">
        <v>1626</v>
      </c>
      <c r="C18" s="212"/>
      <c r="D18" s="215" t="s">
        <v>83</v>
      </c>
      <c r="E18" s="314">
        <v>526</v>
      </c>
      <c r="F18" s="210"/>
    </row>
    <row r="19" ht="20.4" spans="1:6">
      <c r="A19" s="213" t="s">
        <v>84</v>
      </c>
      <c r="B19" s="209">
        <v>12</v>
      </c>
      <c r="C19" s="212" t="s">
        <v>85</v>
      </c>
      <c r="D19" s="215" t="s">
        <v>86</v>
      </c>
      <c r="E19" s="314">
        <v>3</v>
      </c>
      <c r="F19" s="210"/>
    </row>
    <row r="20" ht="20.4" spans="1:6">
      <c r="A20" s="214" t="s">
        <v>87</v>
      </c>
      <c r="B20" s="209">
        <v>2021</v>
      </c>
      <c r="C20" s="212" t="s">
        <v>88</v>
      </c>
      <c r="D20" s="215" t="s">
        <v>89</v>
      </c>
      <c r="E20" s="314">
        <v>383</v>
      </c>
      <c r="F20" s="210"/>
    </row>
    <row r="21" ht="20.4" spans="1:6">
      <c r="A21" s="211" t="s">
        <v>90</v>
      </c>
      <c r="B21" s="209">
        <f>SUM(B22:B28)</f>
        <v>26848</v>
      </c>
      <c r="C21" s="212"/>
      <c r="D21" s="313" t="s">
        <v>91</v>
      </c>
      <c r="E21" s="314">
        <f>SUM(E22:E28)</f>
        <v>17253</v>
      </c>
      <c r="F21" s="210"/>
    </row>
    <row r="22" ht="20.4" spans="1:6">
      <c r="A22" s="211" t="s">
        <v>92</v>
      </c>
      <c r="B22" s="209">
        <v>14504</v>
      </c>
      <c r="C22" s="212" t="s">
        <v>93</v>
      </c>
      <c r="D22" s="215" t="s">
        <v>94</v>
      </c>
      <c r="E22" s="314">
        <v>162</v>
      </c>
      <c r="F22" s="210"/>
    </row>
    <row r="23" ht="20.4" spans="1:6">
      <c r="A23" s="215" t="s">
        <v>95</v>
      </c>
      <c r="B23" s="209">
        <v>1358</v>
      </c>
      <c r="C23" s="210"/>
      <c r="D23" s="215" t="s">
        <v>96</v>
      </c>
      <c r="E23" s="314">
        <v>56</v>
      </c>
      <c r="F23" s="210"/>
    </row>
    <row r="24" ht="20.4" spans="1:6">
      <c r="A24" s="215" t="s">
        <v>97</v>
      </c>
      <c r="B24" s="209">
        <v>515</v>
      </c>
      <c r="C24" s="210"/>
      <c r="D24" s="215" t="s">
        <v>98</v>
      </c>
      <c r="E24" s="314">
        <v>3500</v>
      </c>
      <c r="F24" s="210"/>
    </row>
    <row r="25" ht="20.4" spans="1:6">
      <c r="A25" s="215" t="s">
        <v>99</v>
      </c>
      <c r="B25" s="209">
        <v>2509</v>
      </c>
      <c r="C25" s="210"/>
      <c r="D25" s="215" t="s">
        <v>100</v>
      </c>
      <c r="E25" s="314">
        <v>1500</v>
      </c>
      <c r="F25" s="210"/>
    </row>
    <row r="26" ht="20.4" spans="1:6">
      <c r="A26" s="215" t="s">
        <v>101</v>
      </c>
      <c r="B26" s="209">
        <v>1200</v>
      </c>
      <c r="C26" s="210"/>
      <c r="D26" s="313" t="s">
        <v>102</v>
      </c>
      <c r="E26" s="312"/>
      <c r="F26" s="210"/>
    </row>
    <row r="27" ht="20.4" spans="1:6">
      <c r="A27" s="211" t="s">
        <v>103</v>
      </c>
      <c r="B27" s="209">
        <v>1651</v>
      </c>
      <c r="C27" s="210"/>
      <c r="D27" s="215" t="s">
        <v>104</v>
      </c>
      <c r="E27" s="312">
        <v>117</v>
      </c>
      <c r="F27" s="210"/>
    </row>
    <row r="28" ht="48" spans="1:6">
      <c r="A28" s="211" t="s">
        <v>105</v>
      </c>
      <c r="B28" s="209">
        <v>5111</v>
      </c>
      <c r="C28" s="210" t="s">
        <v>106</v>
      </c>
      <c r="D28" s="211" t="s">
        <v>107</v>
      </c>
      <c r="E28" s="209">
        <f>4400+7518</f>
        <v>11918</v>
      </c>
      <c r="F28" s="210"/>
    </row>
    <row r="29" ht="20.4" spans="1:6">
      <c r="A29" s="208" t="s">
        <v>108</v>
      </c>
      <c r="B29" s="209">
        <v>24606.22</v>
      </c>
      <c r="C29" s="212" t="s">
        <v>109</v>
      </c>
      <c r="D29" s="315" t="s">
        <v>110</v>
      </c>
      <c r="E29" s="209">
        <f>'[1]4支出'!H6</f>
        <v>147195.62</v>
      </c>
      <c r="F29" s="316"/>
    </row>
  </sheetData>
  <mergeCells count="1">
    <mergeCell ref="A2:F2"/>
  </mergeCells>
  <conditionalFormatting sqref="D4:F4">
    <cfRule type="cellIs" dxfId="0" priority="7" stopIfTrue="1" operator="equal">
      <formula>0</formula>
    </cfRule>
  </conditionalFormatting>
  <conditionalFormatting sqref="D21">
    <cfRule type="cellIs" dxfId="0" priority="9" stopIfTrue="1" operator="equal">
      <formula>0</formula>
    </cfRule>
  </conditionalFormatting>
  <conditionalFormatting sqref="A28">
    <cfRule type="cellIs" dxfId="0" priority="6" stopIfTrue="1" operator="equal">
      <formula>0</formula>
    </cfRule>
  </conditionalFormatting>
  <conditionalFormatting sqref="B28">
    <cfRule type="cellIs" dxfId="0" priority="4" stopIfTrue="1" operator="equal">
      <formula>0</formula>
    </cfRule>
  </conditionalFormatting>
  <conditionalFormatting sqref="D28">
    <cfRule type="cellIs" dxfId="0" priority="5" stopIfTrue="1" operator="equal">
      <formula>0</formula>
    </cfRule>
  </conditionalFormatting>
  <conditionalFormatting sqref="E28">
    <cfRule type="cellIs" dxfId="0" priority="3" stopIfTrue="1" operator="equal">
      <formula>0</formula>
    </cfRule>
  </conditionalFormatting>
  <conditionalFormatting sqref="B29">
    <cfRule type="cellIs" dxfId="0" priority="1" stopIfTrue="1" operator="equal">
      <formula>0</formula>
    </cfRule>
  </conditionalFormatting>
  <conditionalFormatting sqref="E29">
    <cfRule type="cellIs" dxfId="0" priority="2" stopIfTrue="1" operator="equal">
      <formula>0</formula>
    </cfRule>
  </conditionalFormatting>
  <conditionalFormatting sqref="A6:A7">
    <cfRule type="cellIs" dxfId="0" priority="11" stopIfTrue="1" operator="equal">
      <formula>0</formula>
    </cfRule>
  </conditionalFormatting>
  <conditionalFormatting sqref="A8:A18 A30:C65535 B3:C27 C28:C29 A29 A27 A4:A5 A20:A22">
    <cfRule type="cellIs" dxfId="0" priority="12" stopIfTrue="1" operator="equal">
      <formula>0</formula>
    </cfRule>
  </conditionalFormatting>
  <conditionalFormatting sqref="F5:F65535 F3">
    <cfRule type="cellIs" dxfId="0" priority="8" stopIfTrue="1" operator="equal">
      <formula>0</formula>
    </cfRule>
  </conditionalFormatting>
  <conditionalFormatting sqref="D5:E14 E26:E27 D26">
    <cfRule type="cellIs" dxfId="0" priority="10" stopIfTrue="1" operator="equal">
      <formula>0</formula>
    </cfRule>
  </conditionalFormatting>
  <pageMargins left="0.75" right="0.75" top="1" bottom="1" header="0.511805555555556" footer="0.511805555555556"/>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48576"/>
  <sheetViews>
    <sheetView topLeftCell="A19" workbookViewId="0">
      <selection activeCell="C10" sqref="C10"/>
    </sheetView>
  </sheetViews>
  <sheetFormatPr defaultColWidth="8.88888888888889" defaultRowHeight="14.4" outlineLevelCol="5"/>
  <cols>
    <col min="1" max="1" width="8.88888888888889" style="59"/>
    <col min="2" max="2" width="14.2314814814815" style="59" customWidth="1"/>
    <col min="3" max="3" width="20.9074074074074" style="59" customWidth="1"/>
    <col min="4" max="4" width="14.6296296296296" style="60" customWidth="1"/>
    <col min="5" max="5" width="37.8888888888889" style="59" customWidth="1"/>
    <col min="6" max="6" width="63.9166666666667" style="61" customWidth="1"/>
    <col min="7" max="16384" width="8.88888888888889" style="62"/>
  </cols>
  <sheetData>
    <row r="1" spans="1:1">
      <c r="A1" s="3" t="s">
        <v>953</v>
      </c>
    </row>
    <row r="2" ht="24" spans="1:6">
      <c r="A2" s="63" t="s">
        <v>954</v>
      </c>
      <c r="B2" s="63"/>
      <c r="C2" s="63"/>
      <c r="D2" s="63"/>
      <c r="E2" s="63"/>
      <c r="F2" s="63"/>
    </row>
    <row r="3" spans="2:6">
      <c r="B3" s="64"/>
      <c r="C3" s="65"/>
      <c r="D3" s="66"/>
      <c r="E3" s="67"/>
      <c r="F3" s="68" t="s">
        <v>113</v>
      </c>
    </row>
    <row r="4" spans="1:6">
      <c r="A4" s="69" t="s">
        <v>955</v>
      </c>
      <c r="B4" s="69" t="s">
        <v>118</v>
      </c>
      <c r="C4" s="69" t="s">
        <v>120</v>
      </c>
      <c r="D4" s="69" t="s">
        <v>956</v>
      </c>
      <c r="E4" s="70" t="s">
        <v>957</v>
      </c>
      <c r="F4" s="71" t="s">
        <v>958</v>
      </c>
    </row>
    <row r="5" spans="1:6">
      <c r="A5" s="69"/>
      <c r="B5" s="69"/>
      <c r="C5" s="69"/>
      <c r="D5" s="69"/>
      <c r="E5" s="70"/>
      <c r="F5" s="71"/>
    </row>
    <row r="6" spans="1:6">
      <c r="A6" s="72"/>
      <c r="B6" s="69"/>
      <c r="C6" s="72"/>
      <c r="D6" s="72"/>
      <c r="E6" s="70"/>
      <c r="F6" s="71"/>
    </row>
    <row r="7" ht="57.6" spans="1:6">
      <c r="A7" s="73" t="s">
        <v>959</v>
      </c>
      <c r="B7" s="74" t="s">
        <v>138</v>
      </c>
      <c r="C7" s="75" t="s">
        <v>237</v>
      </c>
      <c r="D7" s="76">
        <v>3400</v>
      </c>
      <c r="E7" s="77" t="s">
        <v>238</v>
      </c>
      <c r="F7" s="78" t="s">
        <v>960</v>
      </c>
    </row>
    <row r="8" ht="28.8" spans="1:6">
      <c r="A8" s="73" t="s">
        <v>961</v>
      </c>
      <c r="B8" s="74" t="s">
        <v>138</v>
      </c>
      <c r="C8" s="75" t="s">
        <v>962</v>
      </c>
      <c r="D8" s="76">
        <v>30</v>
      </c>
      <c r="E8" s="77" t="s">
        <v>286</v>
      </c>
      <c r="F8" s="78" t="s">
        <v>963</v>
      </c>
    </row>
    <row r="9" ht="37.2" spans="1:6">
      <c r="A9" s="73" t="s">
        <v>961</v>
      </c>
      <c r="B9" s="74" t="s">
        <v>138</v>
      </c>
      <c r="C9" s="75" t="s">
        <v>964</v>
      </c>
      <c r="D9" s="76">
        <v>352</v>
      </c>
      <c r="E9" s="77" t="s">
        <v>286</v>
      </c>
      <c r="F9" s="78" t="s">
        <v>965</v>
      </c>
    </row>
    <row r="10" ht="259.2" spans="1:6">
      <c r="A10" s="73" t="s">
        <v>966</v>
      </c>
      <c r="B10" s="74" t="s">
        <v>138</v>
      </c>
      <c r="C10" s="75" t="s">
        <v>280</v>
      </c>
      <c r="D10" s="76">
        <v>456.03</v>
      </c>
      <c r="E10" s="79" t="s">
        <v>281</v>
      </c>
      <c r="F10" s="78" t="s">
        <v>967</v>
      </c>
    </row>
    <row r="11" ht="72" spans="1:6">
      <c r="A11" s="73" t="s">
        <v>968</v>
      </c>
      <c r="B11" s="74" t="s">
        <v>138</v>
      </c>
      <c r="C11" s="75" t="s">
        <v>291</v>
      </c>
      <c r="D11" s="76">
        <v>2234.5</v>
      </c>
      <c r="E11" s="77" t="s">
        <v>292</v>
      </c>
      <c r="F11" s="78" t="s">
        <v>969</v>
      </c>
    </row>
    <row r="12" ht="28.8" spans="1:6">
      <c r="A12" s="73" t="s">
        <v>970</v>
      </c>
      <c r="B12" s="74" t="s">
        <v>138</v>
      </c>
      <c r="C12" s="75" t="s">
        <v>296</v>
      </c>
      <c r="D12" s="76">
        <v>614.27</v>
      </c>
      <c r="E12" s="77" t="s">
        <v>297</v>
      </c>
      <c r="F12" s="78" t="s">
        <v>971</v>
      </c>
    </row>
    <row r="13" ht="66" spans="1:6">
      <c r="A13" s="73" t="s">
        <v>972</v>
      </c>
      <c r="B13" s="74" t="s">
        <v>138</v>
      </c>
      <c r="C13" s="75" t="s">
        <v>303</v>
      </c>
      <c r="D13" s="76">
        <v>367</v>
      </c>
      <c r="E13" s="80" t="s">
        <v>973</v>
      </c>
      <c r="F13" s="78" t="s">
        <v>974</v>
      </c>
    </row>
    <row r="14" ht="72" spans="1:6">
      <c r="A14" s="73" t="s">
        <v>975</v>
      </c>
      <c r="B14" s="74" t="s">
        <v>138</v>
      </c>
      <c r="C14" s="75" t="s">
        <v>313</v>
      </c>
      <c r="D14" s="76">
        <v>200</v>
      </c>
      <c r="E14" s="79" t="s">
        <v>286</v>
      </c>
      <c r="F14" s="78" t="s">
        <v>976</v>
      </c>
    </row>
    <row r="15" ht="43.2" spans="1:6">
      <c r="A15" s="73" t="s">
        <v>977</v>
      </c>
      <c r="B15" s="74" t="s">
        <v>138</v>
      </c>
      <c r="C15" s="75" t="s">
        <v>314</v>
      </c>
      <c r="D15" s="76">
        <v>4459</v>
      </c>
      <c r="E15" s="79" t="s">
        <v>286</v>
      </c>
      <c r="F15" s="78" t="s">
        <v>978</v>
      </c>
    </row>
    <row r="16" ht="145.2" spans="1:6">
      <c r="A16" s="73" t="s">
        <v>975</v>
      </c>
      <c r="B16" s="74" t="s">
        <v>138</v>
      </c>
      <c r="C16" s="75" t="s">
        <v>320</v>
      </c>
      <c r="D16" s="76">
        <v>2931.29</v>
      </c>
      <c r="E16" s="77" t="s">
        <v>979</v>
      </c>
      <c r="F16" s="81" t="s">
        <v>980</v>
      </c>
    </row>
    <row r="17" ht="158.4" spans="1:6">
      <c r="A17" s="73" t="s">
        <v>977</v>
      </c>
      <c r="B17" s="74" t="s">
        <v>138</v>
      </c>
      <c r="C17" s="75" t="s">
        <v>324</v>
      </c>
      <c r="D17" s="76">
        <v>100</v>
      </c>
      <c r="E17" s="79" t="s">
        <v>325</v>
      </c>
      <c r="F17" s="78" t="s">
        <v>981</v>
      </c>
    </row>
    <row r="18" ht="79.2" spans="1:6">
      <c r="A18" s="73" t="s">
        <v>975</v>
      </c>
      <c r="B18" s="74" t="s">
        <v>138</v>
      </c>
      <c r="C18" s="75" t="s">
        <v>365</v>
      </c>
      <c r="D18" s="76">
        <v>5369.14</v>
      </c>
      <c r="E18" s="77" t="s">
        <v>366</v>
      </c>
      <c r="F18" s="82" t="s">
        <v>982</v>
      </c>
    </row>
    <row r="19" ht="144" spans="1:6">
      <c r="A19" s="73" t="s">
        <v>977</v>
      </c>
      <c r="B19" s="74" t="s">
        <v>138</v>
      </c>
      <c r="C19" s="75" t="s">
        <v>381</v>
      </c>
      <c r="D19" s="76">
        <v>503.41</v>
      </c>
      <c r="E19" s="77" t="s">
        <v>983</v>
      </c>
      <c r="F19" s="78" t="s">
        <v>984</v>
      </c>
    </row>
    <row r="20" ht="26.4" spans="1:6">
      <c r="A20" s="73" t="s">
        <v>985</v>
      </c>
      <c r="B20" s="74" t="s">
        <v>138</v>
      </c>
      <c r="C20" s="75" t="s">
        <v>391</v>
      </c>
      <c r="D20" s="76">
        <v>542.55</v>
      </c>
      <c r="E20" s="77" t="s">
        <v>392</v>
      </c>
      <c r="F20" s="78" t="s">
        <v>986</v>
      </c>
    </row>
    <row r="21" ht="96" spans="1:6">
      <c r="A21" s="73" t="s">
        <v>968</v>
      </c>
      <c r="B21" s="74" t="s">
        <v>138</v>
      </c>
      <c r="C21" s="83" t="s">
        <v>409</v>
      </c>
      <c r="D21" s="76">
        <v>432.09</v>
      </c>
      <c r="E21" s="79" t="s">
        <v>987</v>
      </c>
      <c r="F21" s="78" t="s">
        <v>988</v>
      </c>
    </row>
    <row r="22" spans="1:6">
      <c r="A22" s="84" t="s">
        <v>590</v>
      </c>
      <c r="B22" s="84"/>
      <c r="C22" s="84"/>
      <c r="D22" s="85">
        <f>SUM(D7:D21)</f>
        <v>21991.28</v>
      </c>
      <c r="E22" s="85"/>
      <c r="F22" s="85"/>
    </row>
    <row r="1048171" spans="1:6">
      <c r="A1048171" s="62"/>
      <c r="B1048171" s="62"/>
      <c r="C1048171" s="62"/>
      <c r="D1048171" s="62"/>
      <c r="E1048171" s="62"/>
      <c r="F1048171" s="62"/>
    </row>
    <row r="1048172" spans="1:6">
      <c r="A1048172" s="62"/>
      <c r="B1048172" s="62"/>
      <c r="C1048172" s="62"/>
      <c r="D1048172" s="62"/>
      <c r="E1048172" s="62"/>
      <c r="F1048172" s="62"/>
    </row>
    <row r="1048173" spans="1:6">
      <c r="A1048173" s="62"/>
      <c r="B1048173" s="62"/>
      <c r="C1048173" s="62"/>
      <c r="D1048173" s="62"/>
      <c r="E1048173" s="62"/>
      <c r="F1048173" s="62"/>
    </row>
    <row r="1048174" spans="1:6">
      <c r="A1048174" s="62"/>
      <c r="B1048174" s="62"/>
      <c r="C1048174" s="62"/>
      <c r="D1048174" s="62"/>
      <c r="E1048174" s="62"/>
      <c r="F1048174" s="62"/>
    </row>
    <row r="1048175" spans="1:6">
      <c r="A1048175" s="62"/>
      <c r="B1048175" s="62"/>
      <c r="C1048175" s="62"/>
      <c r="D1048175" s="62"/>
      <c r="E1048175" s="62"/>
      <c r="F1048175" s="62"/>
    </row>
    <row r="1048176" spans="1:6">
      <c r="A1048176" s="62"/>
      <c r="B1048176" s="62"/>
      <c r="C1048176" s="62"/>
      <c r="D1048176" s="62"/>
      <c r="E1048176" s="62"/>
      <c r="F1048176" s="62"/>
    </row>
    <row r="1048177" spans="1:6">
      <c r="A1048177" s="62"/>
      <c r="B1048177" s="62"/>
      <c r="C1048177" s="62"/>
      <c r="D1048177" s="62"/>
      <c r="E1048177" s="62"/>
      <c r="F1048177" s="62"/>
    </row>
    <row r="1048178" spans="1:6">
      <c r="A1048178" s="62"/>
      <c r="B1048178" s="62"/>
      <c r="C1048178" s="62"/>
      <c r="D1048178" s="62"/>
      <c r="E1048178" s="62"/>
      <c r="F1048178" s="62"/>
    </row>
    <row r="1048179" spans="1:6">
      <c r="A1048179" s="62"/>
      <c r="B1048179" s="62"/>
      <c r="C1048179" s="62"/>
      <c r="D1048179" s="62"/>
      <c r="E1048179" s="62"/>
      <c r="F1048179" s="62"/>
    </row>
    <row r="1048180" spans="1:6">
      <c r="A1048180" s="62"/>
      <c r="B1048180" s="62"/>
      <c r="C1048180" s="62"/>
      <c r="D1048180" s="62"/>
      <c r="E1048180" s="62"/>
      <c r="F1048180" s="62"/>
    </row>
    <row r="1048181" spans="1:6">
      <c r="A1048181" s="62"/>
      <c r="B1048181" s="62"/>
      <c r="C1048181" s="62"/>
      <c r="D1048181" s="62"/>
      <c r="E1048181" s="62"/>
      <c r="F1048181" s="62"/>
    </row>
    <row r="1048182" spans="1:6">
      <c r="A1048182" s="62"/>
      <c r="B1048182" s="62"/>
      <c r="C1048182" s="62"/>
      <c r="D1048182" s="62"/>
      <c r="E1048182" s="62"/>
      <c r="F1048182" s="62"/>
    </row>
    <row r="1048183" spans="1:6">
      <c r="A1048183" s="62"/>
      <c r="B1048183" s="62"/>
      <c r="C1048183" s="62"/>
      <c r="D1048183" s="62"/>
      <c r="E1048183" s="62"/>
      <c r="F1048183" s="62"/>
    </row>
    <row r="1048184" spans="1:6">
      <c r="A1048184" s="62"/>
      <c r="B1048184" s="62"/>
      <c r="C1048184" s="62"/>
      <c r="D1048184" s="62"/>
      <c r="E1048184" s="62"/>
      <c r="F1048184" s="62"/>
    </row>
    <row r="1048185" spans="1:6">
      <c r="A1048185" s="62"/>
      <c r="B1048185" s="62"/>
      <c r="C1048185" s="62"/>
      <c r="D1048185" s="62"/>
      <c r="E1048185" s="62"/>
      <c r="F1048185" s="62"/>
    </row>
    <row r="1048186" spans="1:6">
      <c r="A1048186" s="62"/>
      <c r="B1048186" s="62"/>
      <c r="C1048186" s="62"/>
      <c r="D1048186" s="62"/>
      <c r="E1048186" s="62"/>
      <c r="F1048186" s="62"/>
    </row>
    <row r="1048187" spans="1:6">
      <c r="A1048187" s="62"/>
      <c r="B1048187" s="62"/>
      <c r="C1048187" s="62"/>
      <c r="D1048187" s="62"/>
      <c r="E1048187" s="62"/>
      <c r="F1048187" s="62"/>
    </row>
    <row r="1048188" spans="1:6">
      <c r="A1048188" s="62"/>
      <c r="B1048188" s="62"/>
      <c r="C1048188" s="62"/>
      <c r="D1048188" s="62"/>
      <c r="E1048188" s="62"/>
      <c r="F1048188" s="62"/>
    </row>
    <row r="1048189" spans="1:6">
      <c r="A1048189" s="62"/>
      <c r="B1048189" s="62"/>
      <c r="C1048189" s="62"/>
      <c r="D1048189" s="62"/>
      <c r="E1048189" s="62"/>
      <c r="F1048189" s="62"/>
    </row>
    <row r="1048190" spans="1:6">
      <c r="A1048190" s="62"/>
      <c r="B1048190" s="62"/>
      <c r="C1048190" s="62"/>
      <c r="D1048190" s="62"/>
      <c r="E1048190" s="62"/>
      <c r="F1048190" s="62"/>
    </row>
    <row r="1048191" spans="1:6">
      <c r="A1048191" s="62"/>
      <c r="B1048191" s="62"/>
      <c r="C1048191" s="62"/>
      <c r="D1048191" s="62"/>
      <c r="E1048191" s="62"/>
      <c r="F1048191" s="62"/>
    </row>
    <row r="1048192" spans="1:6">
      <c r="A1048192" s="62"/>
      <c r="B1048192" s="62"/>
      <c r="C1048192" s="62"/>
      <c r="D1048192" s="62"/>
      <c r="E1048192" s="62"/>
      <c r="F1048192" s="62"/>
    </row>
    <row r="1048193" spans="1:6">
      <c r="A1048193" s="62"/>
      <c r="B1048193" s="62"/>
      <c r="C1048193" s="62"/>
      <c r="D1048193" s="62"/>
      <c r="E1048193" s="62"/>
      <c r="F1048193" s="62"/>
    </row>
    <row r="1048194" spans="1:6">
      <c r="A1048194" s="62"/>
      <c r="B1048194" s="62"/>
      <c r="C1048194" s="62"/>
      <c r="D1048194" s="62"/>
      <c r="E1048194" s="62"/>
      <c r="F1048194" s="62"/>
    </row>
    <row r="1048195" spans="1:6">
      <c r="A1048195" s="62"/>
      <c r="B1048195" s="62"/>
      <c r="C1048195" s="62"/>
      <c r="D1048195" s="62"/>
      <c r="E1048195" s="62"/>
      <c r="F1048195" s="62"/>
    </row>
    <row r="1048196" spans="1:6">
      <c r="A1048196" s="62"/>
      <c r="B1048196" s="62"/>
      <c r="C1048196" s="62"/>
      <c r="D1048196" s="62"/>
      <c r="E1048196" s="62"/>
      <c r="F1048196" s="62"/>
    </row>
    <row r="1048197" spans="1:6">
      <c r="A1048197" s="62"/>
      <c r="B1048197" s="62"/>
      <c r="C1048197" s="62"/>
      <c r="D1048197" s="62"/>
      <c r="E1048197" s="62"/>
      <c r="F1048197" s="62"/>
    </row>
    <row r="1048198" spans="1:6">
      <c r="A1048198" s="62"/>
      <c r="B1048198" s="62"/>
      <c r="C1048198" s="62"/>
      <c r="D1048198" s="62"/>
      <c r="E1048198" s="62"/>
      <c r="F1048198" s="62"/>
    </row>
    <row r="1048199" spans="1:6">
      <c r="A1048199" s="62"/>
      <c r="B1048199" s="62"/>
      <c r="C1048199" s="62"/>
      <c r="D1048199" s="62"/>
      <c r="E1048199" s="62"/>
      <c r="F1048199" s="62"/>
    </row>
    <row r="1048200" spans="1:6">
      <c r="A1048200" s="62"/>
      <c r="B1048200" s="62"/>
      <c r="C1048200" s="62"/>
      <c r="D1048200" s="62"/>
      <c r="E1048200" s="62"/>
      <c r="F1048200" s="62"/>
    </row>
    <row r="1048201" spans="1:6">
      <c r="A1048201" s="62"/>
      <c r="B1048201" s="62"/>
      <c r="C1048201" s="62"/>
      <c r="D1048201" s="62"/>
      <c r="E1048201" s="62"/>
      <c r="F1048201" s="62"/>
    </row>
    <row r="1048202" spans="1:6">
      <c r="A1048202" s="62"/>
      <c r="B1048202" s="62"/>
      <c r="C1048202" s="62"/>
      <c r="D1048202" s="62"/>
      <c r="E1048202" s="62"/>
      <c r="F1048202" s="62"/>
    </row>
    <row r="1048203" spans="1:6">
      <c r="A1048203" s="62"/>
      <c r="B1048203" s="62"/>
      <c r="C1048203" s="62"/>
      <c r="D1048203" s="62"/>
      <c r="E1048203" s="62"/>
      <c r="F1048203" s="62"/>
    </row>
    <row r="1048204" spans="1:6">
      <c r="A1048204" s="62"/>
      <c r="B1048204" s="62"/>
      <c r="C1048204" s="62"/>
      <c r="D1048204" s="62"/>
      <c r="E1048204" s="62"/>
      <c r="F1048204" s="62"/>
    </row>
    <row r="1048205" spans="1:6">
      <c r="A1048205" s="62"/>
      <c r="B1048205" s="62"/>
      <c r="C1048205" s="62"/>
      <c r="D1048205" s="62"/>
      <c r="E1048205" s="62"/>
      <c r="F1048205" s="62"/>
    </row>
    <row r="1048206" spans="1:6">
      <c r="A1048206" s="62"/>
      <c r="B1048206" s="62"/>
      <c r="C1048206" s="62"/>
      <c r="D1048206" s="62"/>
      <c r="E1048206" s="62"/>
      <c r="F1048206" s="62"/>
    </row>
    <row r="1048207" spans="1:6">
      <c r="A1048207" s="62"/>
      <c r="B1048207" s="62"/>
      <c r="C1048207" s="62"/>
      <c r="D1048207" s="62"/>
      <c r="E1048207" s="62"/>
      <c r="F1048207" s="62"/>
    </row>
    <row r="1048208" spans="1:6">
      <c r="A1048208" s="62"/>
      <c r="B1048208" s="62"/>
      <c r="C1048208" s="62"/>
      <c r="D1048208" s="62"/>
      <c r="E1048208" s="62"/>
      <c r="F1048208" s="62"/>
    </row>
    <row r="1048209" spans="1:6">
      <c r="A1048209" s="62"/>
      <c r="B1048209" s="62"/>
      <c r="C1048209" s="62"/>
      <c r="D1048209" s="62"/>
      <c r="E1048209" s="62"/>
      <c r="F1048209" s="62"/>
    </row>
    <row r="1048210" spans="1:6">
      <c r="A1048210" s="62"/>
      <c r="B1048210" s="62"/>
      <c r="C1048210" s="62"/>
      <c r="D1048210" s="62"/>
      <c r="E1048210" s="62"/>
      <c r="F1048210" s="62"/>
    </row>
    <row r="1048211" spans="1:6">
      <c r="A1048211" s="62"/>
      <c r="B1048211" s="62"/>
      <c r="C1048211" s="62"/>
      <c r="D1048211" s="62"/>
      <c r="E1048211" s="62"/>
      <c r="F1048211" s="62"/>
    </row>
    <row r="1048212" spans="1:6">
      <c r="A1048212" s="62"/>
      <c r="B1048212" s="62"/>
      <c r="C1048212" s="62"/>
      <c r="D1048212" s="62"/>
      <c r="E1048212" s="62"/>
      <c r="F1048212" s="62"/>
    </row>
    <row r="1048213" spans="1:6">
      <c r="A1048213" s="62"/>
      <c r="B1048213" s="62"/>
      <c r="C1048213" s="62"/>
      <c r="D1048213" s="62"/>
      <c r="E1048213" s="62"/>
      <c r="F1048213" s="62"/>
    </row>
    <row r="1048214" spans="1:6">
      <c r="A1048214" s="62"/>
      <c r="B1048214" s="62"/>
      <c r="C1048214" s="62"/>
      <c r="D1048214" s="62"/>
      <c r="E1048214" s="62"/>
      <c r="F1048214" s="62"/>
    </row>
    <row r="1048215" spans="1:6">
      <c r="A1048215" s="62"/>
      <c r="B1048215" s="62"/>
      <c r="C1048215" s="62"/>
      <c r="D1048215" s="62"/>
      <c r="E1048215" s="62"/>
      <c r="F1048215" s="62"/>
    </row>
    <row r="1048216" spans="1:6">
      <c r="A1048216" s="62"/>
      <c r="B1048216" s="62"/>
      <c r="C1048216" s="62"/>
      <c r="D1048216" s="62"/>
      <c r="E1048216" s="62"/>
      <c r="F1048216" s="62"/>
    </row>
    <row r="1048217" spans="1:6">
      <c r="A1048217" s="62"/>
      <c r="B1048217" s="62"/>
      <c r="C1048217" s="62"/>
      <c r="D1048217" s="62"/>
      <c r="E1048217" s="62"/>
      <c r="F1048217" s="62"/>
    </row>
    <row r="1048218" spans="1:6">
      <c r="A1048218" s="62"/>
      <c r="B1048218" s="62"/>
      <c r="C1048218" s="62"/>
      <c r="D1048218" s="62"/>
      <c r="E1048218" s="62"/>
      <c r="F1048218" s="62"/>
    </row>
    <row r="1048219" spans="1:6">
      <c r="A1048219" s="62"/>
      <c r="B1048219" s="62"/>
      <c r="C1048219" s="62"/>
      <c r="D1048219" s="62"/>
      <c r="E1048219" s="62"/>
      <c r="F1048219" s="62"/>
    </row>
    <row r="1048220" spans="1:6">
      <c r="A1048220" s="62"/>
      <c r="B1048220" s="62"/>
      <c r="C1048220" s="62"/>
      <c r="D1048220" s="62"/>
      <c r="E1048220" s="62"/>
      <c r="F1048220" s="62"/>
    </row>
    <row r="1048221" spans="1:6">
      <c r="A1048221" s="62"/>
      <c r="B1048221" s="62"/>
      <c r="C1048221" s="62"/>
      <c r="D1048221" s="62"/>
      <c r="E1048221" s="62"/>
      <c r="F1048221" s="62"/>
    </row>
    <row r="1048222" spans="1:6">
      <c r="A1048222" s="62"/>
      <c r="B1048222" s="62"/>
      <c r="C1048222" s="62"/>
      <c r="D1048222" s="62"/>
      <c r="E1048222" s="62"/>
      <c r="F1048222" s="62"/>
    </row>
    <row r="1048223" spans="1:6">
      <c r="A1048223" s="62"/>
      <c r="B1048223" s="62"/>
      <c r="C1048223" s="62"/>
      <c r="D1048223" s="62"/>
      <c r="E1048223" s="62"/>
      <c r="F1048223" s="62"/>
    </row>
    <row r="1048224" spans="1:6">
      <c r="A1048224" s="62"/>
      <c r="B1048224" s="62"/>
      <c r="C1048224" s="62"/>
      <c r="D1048224" s="62"/>
      <c r="E1048224" s="62"/>
      <c r="F1048224" s="62"/>
    </row>
    <row r="1048225" spans="1:6">
      <c r="A1048225" s="62"/>
      <c r="B1048225" s="62"/>
      <c r="C1048225" s="62"/>
      <c r="D1048225" s="62"/>
      <c r="E1048225" s="62"/>
      <c r="F1048225" s="62"/>
    </row>
    <row r="1048226" spans="1:6">
      <c r="A1048226" s="62"/>
      <c r="B1048226" s="62"/>
      <c r="C1048226" s="62"/>
      <c r="D1048226" s="62"/>
      <c r="E1048226" s="62"/>
      <c r="F1048226" s="62"/>
    </row>
    <row r="1048227" spans="1:6">
      <c r="A1048227" s="62"/>
      <c r="B1048227" s="62"/>
      <c r="C1048227" s="62"/>
      <c r="D1048227" s="62"/>
      <c r="E1048227" s="62"/>
      <c r="F1048227" s="62"/>
    </row>
    <row r="1048228" spans="1:6">
      <c r="A1048228" s="62"/>
      <c r="B1048228" s="62"/>
      <c r="C1048228" s="62"/>
      <c r="D1048228" s="62"/>
      <c r="E1048228" s="62"/>
      <c r="F1048228" s="62"/>
    </row>
    <row r="1048229" spans="1:6">
      <c r="A1048229" s="62"/>
      <c r="B1048229" s="62"/>
      <c r="C1048229" s="62"/>
      <c r="D1048229" s="62"/>
      <c r="E1048229" s="62"/>
      <c r="F1048229" s="62"/>
    </row>
    <row r="1048230" spans="1:6">
      <c r="A1048230" s="62"/>
      <c r="B1048230" s="62"/>
      <c r="C1048230" s="62"/>
      <c r="D1048230" s="62"/>
      <c r="E1048230" s="62"/>
      <c r="F1048230" s="62"/>
    </row>
    <row r="1048231" spans="1:6">
      <c r="A1048231" s="62"/>
      <c r="B1048231" s="62"/>
      <c r="C1048231" s="62"/>
      <c r="D1048231" s="62"/>
      <c r="E1048231" s="62"/>
      <c r="F1048231" s="62"/>
    </row>
    <row r="1048232" spans="1:6">
      <c r="A1048232" s="62"/>
      <c r="B1048232" s="62"/>
      <c r="C1048232" s="62"/>
      <c r="D1048232" s="62"/>
      <c r="E1048232" s="62"/>
      <c r="F1048232" s="62"/>
    </row>
    <row r="1048233" spans="1:6">
      <c r="A1048233" s="62"/>
      <c r="B1048233" s="62"/>
      <c r="C1048233" s="62"/>
      <c r="D1048233" s="62"/>
      <c r="E1048233" s="62"/>
      <c r="F1048233" s="62"/>
    </row>
    <row r="1048234" spans="1:6">
      <c r="A1048234" s="62"/>
      <c r="B1048234" s="62"/>
      <c r="C1048234" s="62"/>
      <c r="D1048234" s="62"/>
      <c r="E1048234" s="62"/>
      <c r="F1048234" s="62"/>
    </row>
    <row r="1048235" spans="1:6">
      <c r="A1048235" s="62"/>
      <c r="B1048235" s="62"/>
      <c r="C1048235" s="62"/>
      <c r="D1048235" s="62"/>
      <c r="E1048235" s="62"/>
      <c r="F1048235" s="62"/>
    </row>
    <row r="1048236" spans="1:6">
      <c r="A1048236" s="62"/>
      <c r="B1048236" s="62"/>
      <c r="C1048236" s="62"/>
      <c r="D1048236" s="62"/>
      <c r="E1048236" s="62"/>
      <c r="F1048236" s="62"/>
    </row>
    <row r="1048237" spans="1:6">
      <c r="A1048237" s="62"/>
      <c r="B1048237" s="62"/>
      <c r="C1048237" s="62"/>
      <c r="D1048237" s="62"/>
      <c r="E1048237" s="62"/>
      <c r="F1048237" s="62"/>
    </row>
    <row r="1048238" spans="1:6">
      <c r="A1048238" s="62"/>
      <c r="B1048238" s="62"/>
      <c r="C1048238" s="62"/>
      <c r="D1048238" s="62"/>
      <c r="E1048238" s="62"/>
      <c r="F1048238" s="62"/>
    </row>
    <row r="1048239" spans="1:6">
      <c r="A1048239" s="62"/>
      <c r="B1048239" s="62"/>
      <c r="C1048239" s="62"/>
      <c r="D1048239" s="62"/>
      <c r="E1048239" s="62"/>
      <c r="F1048239" s="62"/>
    </row>
    <row r="1048240" spans="1:6">
      <c r="A1048240" s="62"/>
      <c r="B1048240" s="62"/>
      <c r="C1048240" s="62"/>
      <c r="D1048240" s="62"/>
      <c r="E1048240" s="62"/>
      <c r="F1048240" s="62"/>
    </row>
    <row r="1048241" spans="1:6">
      <c r="A1048241" s="62"/>
      <c r="B1048241" s="62"/>
      <c r="C1048241" s="62"/>
      <c r="D1048241" s="62"/>
      <c r="E1048241" s="62"/>
      <c r="F1048241" s="62"/>
    </row>
    <row r="1048242" spans="1:6">
      <c r="A1048242" s="62"/>
      <c r="B1048242" s="62"/>
      <c r="C1048242" s="62"/>
      <c r="D1048242" s="62"/>
      <c r="E1048242" s="62"/>
      <c r="F1048242" s="62"/>
    </row>
    <row r="1048243" spans="1:6">
      <c r="A1048243" s="62"/>
      <c r="B1048243" s="62"/>
      <c r="C1048243" s="62"/>
      <c r="D1048243" s="62"/>
      <c r="E1048243" s="62"/>
      <c r="F1048243" s="62"/>
    </row>
    <row r="1048244" spans="1:6">
      <c r="A1048244" s="62"/>
      <c r="B1048244" s="62"/>
      <c r="C1048244" s="62"/>
      <c r="D1048244" s="62"/>
      <c r="E1048244" s="62"/>
      <c r="F1048244" s="62"/>
    </row>
    <row r="1048245" spans="1:6">
      <c r="A1048245" s="62"/>
      <c r="B1048245" s="62"/>
      <c r="C1048245" s="62"/>
      <c r="D1048245" s="62"/>
      <c r="E1048245" s="62"/>
      <c r="F1048245" s="62"/>
    </row>
    <row r="1048246" spans="1:6">
      <c r="A1048246" s="62"/>
      <c r="B1048246" s="62"/>
      <c r="C1048246" s="62"/>
      <c r="D1048246" s="62"/>
      <c r="E1048246" s="62"/>
      <c r="F1048246" s="62"/>
    </row>
    <row r="1048247" spans="1:6">
      <c r="A1048247" s="62"/>
      <c r="B1048247" s="62"/>
      <c r="C1048247" s="62"/>
      <c r="D1048247" s="62"/>
      <c r="E1048247" s="62"/>
      <c r="F1048247" s="62"/>
    </row>
    <row r="1048248" spans="1:6">
      <c r="A1048248" s="62"/>
      <c r="B1048248" s="62"/>
      <c r="C1048248" s="62"/>
      <c r="D1048248" s="62"/>
      <c r="E1048248" s="62"/>
      <c r="F1048248" s="62"/>
    </row>
    <row r="1048249" spans="1:6">
      <c r="A1048249" s="62"/>
      <c r="B1048249" s="62"/>
      <c r="C1048249" s="62"/>
      <c r="D1048249" s="62"/>
      <c r="E1048249" s="62"/>
      <c r="F1048249" s="62"/>
    </row>
    <row r="1048250" spans="1:6">
      <c r="A1048250" s="62"/>
      <c r="B1048250" s="62"/>
      <c r="C1048250" s="62"/>
      <c r="D1048250" s="62"/>
      <c r="E1048250" s="62"/>
      <c r="F1048250" s="62"/>
    </row>
    <row r="1048251" spans="1:6">
      <c r="A1048251" s="62"/>
      <c r="B1048251" s="62"/>
      <c r="C1048251" s="62"/>
      <c r="D1048251" s="62"/>
      <c r="E1048251" s="62"/>
      <c r="F1048251" s="62"/>
    </row>
    <row r="1048252" spans="1:6">
      <c r="A1048252" s="62"/>
      <c r="B1048252" s="62"/>
      <c r="C1048252" s="62"/>
      <c r="D1048252" s="62"/>
      <c r="E1048252" s="62"/>
      <c r="F1048252" s="62"/>
    </row>
    <row r="1048253" spans="1:6">
      <c r="A1048253" s="62"/>
      <c r="B1048253" s="62"/>
      <c r="C1048253" s="62"/>
      <c r="D1048253" s="62"/>
      <c r="E1048253" s="62"/>
      <c r="F1048253" s="62"/>
    </row>
    <row r="1048254" spans="1:6">
      <c r="A1048254" s="62"/>
      <c r="B1048254" s="62"/>
      <c r="C1048254" s="62"/>
      <c r="D1048254" s="62"/>
      <c r="E1048254" s="62"/>
      <c r="F1048254" s="62"/>
    </row>
    <row r="1048255" spans="1:6">
      <c r="A1048255" s="62"/>
      <c r="B1048255" s="62"/>
      <c r="C1048255" s="62"/>
      <c r="D1048255" s="62"/>
      <c r="E1048255" s="62"/>
      <c r="F1048255" s="62"/>
    </row>
    <row r="1048256" spans="1:6">
      <c r="A1048256" s="62"/>
      <c r="B1048256" s="62"/>
      <c r="C1048256" s="62"/>
      <c r="D1048256" s="62"/>
      <c r="E1048256" s="62"/>
      <c r="F1048256" s="62"/>
    </row>
    <row r="1048257" spans="1:6">
      <c r="A1048257" s="62"/>
      <c r="B1048257" s="62"/>
      <c r="C1048257" s="62"/>
      <c r="D1048257" s="62"/>
      <c r="E1048257" s="62"/>
      <c r="F1048257" s="62"/>
    </row>
    <row r="1048258" spans="1:6">
      <c r="A1048258" s="62"/>
      <c r="B1048258" s="62"/>
      <c r="C1048258" s="62"/>
      <c r="D1048258" s="62"/>
      <c r="E1048258" s="62"/>
      <c r="F1048258" s="62"/>
    </row>
    <row r="1048259" spans="1:6">
      <c r="A1048259" s="62"/>
      <c r="B1048259" s="62"/>
      <c r="C1048259" s="62"/>
      <c r="D1048259" s="62"/>
      <c r="E1048259" s="62"/>
      <c r="F1048259" s="62"/>
    </row>
    <row r="1048260" spans="1:6">
      <c r="A1048260" s="62"/>
      <c r="B1048260" s="62"/>
      <c r="C1048260" s="62"/>
      <c r="D1048260" s="62"/>
      <c r="E1048260" s="62"/>
      <c r="F1048260" s="62"/>
    </row>
    <row r="1048261" spans="1:6">
      <c r="A1048261" s="62"/>
      <c r="B1048261" s="62"/>
      <c r="C1048261" s="62"/>
      <c r="D1048261" s="62"/>
      <c r="E1048261" s="62"/>
      <c r="F1048261" s="62"/>
    </row>
    <row r="1048262" spans="1:6">
      <c r="A1048262" s="62"/>
      <c r="B1048262" s="62"/>
      <c r="C1048262" s="62"/>
      <c r="D1048262" s="62"/>
      <c r="E1048262" s="62"/>
      <c r="F1048262" s="62"/>
    </row>
    <row r="1048263" spans="1:6">
      <c r="A1048263" s="62"/>
      <c r="B1048263" s="62"/>
      <c r="C1048263" s="62"/>
      <c r="D1048263" s="62"/>
      <c r="E1048263" s="62"/>
      <c r="F1048263" s="62"/>
    </row>
    <row r="1048264" spans="1:6">
      <c r="A1048264" s="62"/>
      <c r="B1048264" s="62"/>
      <c r="C1048264" s="62"/>
      <c r="D1048264" s="62"/>
      <c r="E1048264" s="62"/>
      <c r="F1048264" s="62"/>
    </row>
    <row r="1048265" spans="1:6">
      <c r="A1048265" s="62"/>
      <c r="B1048265" s="62"/>
      <c r="C1048265" s="62"/>
      <c r="D1048265" s="62"/>
      <c r="E1048265" s="62"/>
      <c r="F1048265" s="62"/>
    </row>
    <row r="1048266" spans="1:6">
      <c r="A1048266" s="62"/>
      <c r="B1048266" s="62"/>
      <c r="C1048266" s="62"/>
      <c r="D1048266" s="62"/>
      <c r="E1048266" s="62"/>
      <c r="F1048266" s="62"/>
    </row>
    <row r="1048267" spans="1:6">
      <c r="A1048267" s="62"/>
      <c r="B1048267" s="62"/>
      <c r="C1048267" s="62"/>
      <c r="D1048267" s="62"/>
      <c r="E1048267" s="62"/>
      <c r="F1048267" s="62"/>
    </row>
    <row r="1048268" spans="1:6">
      <c r="A1048268" s="62"/>
      <c r="B1048268" s="62"/>
      <c r="C1048268" s="62"/>
      <c r="D1048268" s="62"/>
      <c r="E1048268" s="62"/>
      <c r="F1048268" s="62"/>
    </row>
    <row r="1048269" spans="1:6">
      <c r="A1048269" s="62"/>
      <c r="B1048269" s="62"/>
      <c r="C1048269" s="62"/>
      <c r="D1048269" s="62"/>
      <c r="E1048269" s="62"/>
      <c r="F1048269" s="62"/>
    </row>
    <row r="1048270" spans="1:6">
      <c r="A1048270" s="62"/>
      <c r="B1048270" s="62"/>
      <c r="C1048270" s="62"/>
      <c r="D1048270" s="62"/>
      <c r="E1048270" s="62"/>
      <c r="F1048270" s="62"/>
    </row>
    <row r="1048271" spans="1:6">
      <c r="A1048271" s="62"/>
      <c r="B1048271" s="62"/>
      <c r="C1048271" s="62"/>
      <c r="D1048271" s="62"/>
      <c r="E1048271" s="62"/>
      <c r="F1048271" s="62"/>
    </row>
    <row r="1048272" spans="1:6">
      <c r="A1048272" s="62"/>
      <c r="B1048272" s="62"/>
      <c r="C1048272" s="62"/>
      <c r="D1048272" s="62"/>
      <c r="E1048272" s="62"/>
      <c r="F1048272" s="62"/>
    </row>
    <row r="1048273" spans="1:6">
      <c r="A1048273" s="62"/>
      <c r="B1048273" s="62"/>
      <c r="C1048273" s="62"/>
      <c r="D1048273" s="62"/>
      <c r="E1048273" s="62"/>
      <c r="F1048273" s="62"/>
    </row>
    <row r="1048274" spans="1:6">
      <c r="A1048274" s="62"/>
      <c r="B1048274" s="62"/>
      <c r="C1048274" s="62"/>
      <c r="D1048274" s="62"/>
      <c r="E1048274" s="62"/>
      <c r="F1048274" s="62"/>
    </row>
    <row r="1048275" spans="1:6">
      <c r="A1048275" s="62"/>
      <c r="B1048275" s="62"/>
      <c r="C1048275" s="62"/>
      <c r="D1048275" s="62"/>
      <c r="E1048275" s="62"/>
      <c r="F1048275" s="62"/>
    </row>
    <row r="1048276" spans="1:6">
      <c r="A1048276" s="62"/>
      <c r="B1048276" s="62"/>
      <c r="C1048276" s="62"/>
      <c r="D1048276" s="62"/>
      <c r="E1048276" s="62"/>
      <c r="F1048276" s="62"/>
    </row>
    <row r="1048277" spans="1:6">
      <c r="A1048277" s="62"/>
      <c r="B1048277" s="62"/>
      <c r="C1048277" s="62"/>
      <c r="D1048277" s="62"/>
      <c r="E1048277" s="62"/>
      <c r="F1048277" s="62"/>
    </row>
    <row r="1048278" spans="1:6">
      <c r="A1048278" s="62"/>
      <c r="B1048278" s="62"/>
      <c r="C1048278" s="62"/>
      <c r="D1048278" s="62"/>
      <c r="E1048278" s="62"/>
      <c r="F1048278" s="62"/>
    </row>
    <row r="1048279" spans="1:6">
      <c r="A1048279" s="62"/>
      <c r="B1048279" s="62"/>
      <c r="C1048279" s="62"/>
      <c r="D1048279" s="62"/>
      <c r="E1048279" s="62"/>
      <c r="F1048279" s="62"/>
    </row>
    <row r="1048280" spans="1:6">
      <c r="A1048280" s="62"/>
      <c r="B1048280" s="62"/>
      <c r="C1048280" s="62"/>
      <c r="D1048280" s="62"/>
      <c r="E1048280" s="62"/>
      <c r="F1048280" s="62"/>
    </row>
    <row r="1048281" spans="1:6">
      <c r="A1048281" s="62"/>
      <c r="B1048281" s="62"/>
      <c r="C1048281" s="62"/>
      <c r="D1048281" s="62"/>
      <c r="E1048281" s="62"/>
      <c r="F1048281" s="62"/>
    </row>
    <row r="1048282" spans="1:6">
      <c r="A1048282" s="62"/>
      <c r="B1048282" s="62"/>
      <c r="C1048282" s="62"/>
      <c r="D1048282" s="62"/>
      <c r="E1048282" s="62"/>
      <c r="F1048282" s="62"/>
    </row>
    <row r="1048283" spans="1:6">
      <c r="A1048283" s="62"/>
      <c r="B1048283" s="62"/>
      <c r="C1048283" s="62"/>
      <c r="D1048283" s="62"/>
      <c r="E1048283" s="62"/>
      <c r="F1048283" s="62"/>
    </row>
    <row r="1048284" spans="1:6">
      <c r="A1048284" s="62"/>
      <c r="B1048284" s="62"/>
      <c r="C1048284" s="62"/>
      <c r="D1048284" s="62"/>
      <c r="E1048284" s="62"/>
      <c r="F1048284" s="62"/>
    </row>
    <row r="1048285" spans="1:6">
      <c r="A1048285" s="62"/>
      <c r="B1048285" s="62"/>
      <c r="C1048285" s="62"/>
      <c r="D1048285" s="62"/>
      <c r="E1048285" s="62"/>
      <c r="F1048285" s="62"/>
    </row>
    <row r="1048286" spans="1:6">
      <c r="A1048286" s="62"/>
      <c r="B1048286" s="62"/>
      <c r="C1048286" s="62"/>
      <c r="D1048286" s="62"/>
      <c r="E1048286" s="62"/>
      <c r="F1048286" s="62"/>
    </row>
    <row r="1048287" spans="1:6">
      <c r="A1048287" s="62"/>
      <c r="B1048287" s="62"/>
      <c r="C1048287" s="62"/>
      <c r="D1048287" s="62"/>
      <c r="E1048287" s="62"/>
      <c r="F1048287" s="62"/>
    </row>
    <row r="1048288" spans="1:6">
      <c r="A1048288" s="62"/>
      <c r="B1048288" s="62"/>
      <c r="C1048288" s="62"/>
      <c r="D1048288" s="62"/>
      <c r="E1048288" s="62"/>
      <c r="F1048288" s="62"/>
    </row>
    <row r="1048289" spans="1:6">
      <c r="A1048289" s="62"/>
      <c r="B1048289" s="62"/>
      <c r="C1048289" s="62"/>
      <c r="D1048289" s="62"/>
      <c r="E1048289" s="62"/>
      <c r="F1048289" s="62"/>
    </row>
    <row r="1048290" spans="1:6">
      <c r="A1048290" s="62"/>
      <c r="B1048290" s="62"/>
      <c r="C1048290" s="62"/>
      <c r="D1048290" s="62"/>
      <c r="E1048290" s="62"/>
      <c r="F1048290" s="62"/>
    </row>
    <row r="1048291" spans="1:6">
      <c r="A1048291" s="62"/>
      <c r="B1048291" s="62"/>
      <c r="C1048291" s="62"/>
      <c r="D1048291" s="62"/>
      <c r="E1048291" s="62"/>
      <c r="F1048291" s="62"/>
    </row>
    <row r="1048292" spans="1:6">
      <c r="A1048292" s="62"/>
      <c r="B1048292" s="62"/>
      <c r="C1048292" s="62"/>
      <c r="D1048292" s="62"/>
      <c r="E1048292" s="62"/>
      <c r="F1048292" s="62"/>
    </row>
    <row r="1048293" spans="1:6">
      <c r="A1048293" s="62"/>
      <c r="B1048293" s="62"/>
      <c r="C1048293" s="62"/>
      <c r="D1048293" s="62"/>
      <c r="E1048293" s="62"/>
      <c r="F1048293" s="62"/>
    </row>
    <row r="1048294" spans="1:6">
      <c r="A1048294" s="62"/>
      <c r="B1048294" s="62"/>
      <c r="C1048294" s="62"/>
      <c r="D1048294" s="62"/>
      <c r="E1048294" s="62"/>
      <c r="F1048294" s="62"/>
    </row>
    <row r="1048295" spans="1:6">
      <c r="A1048295" s="62"/>
      <c r="B1048295" s="62"/>
      <c r="C1048295" s="62"/>
      <c r="D1048295" s="62"/>
      <c r="E1048295" s="62"/>
      <c r="F1048295" s="62"/>
    </row>
    <row r="1048296" spans="1:6">
      <c r="A1048296" s="62"/>
      <c r="B1048296" s="62"/>
      <c r="C1048296" s="62"/>
      <c r="D1048296" s="62"/>
      <c r="E1048296" s="62"/>
      <c r="F1048296" s="62"/>
    </row>
    <row r="1048297" spans="1:6">
      <c r="A1048297" s="62"/>
      <c r="B1048297" s="62"/>
      <c r="C1048297" s="62"/>
      <c r="D1048297" s="62"/>
      <c r="E1048297" s="62"/>
      <c r="F1048297" s="62"/>
    </row>
    <row r="1048298" spans="1:6">
      <c r="A1048298" s="62"/>
      <c r="B1048298" s="62"/>
      <c r="C1048298" s="62"/>
      <c r="D1048298" s="62"/>
      <c r="E1048298" s="62"/>
      <c r="F1048298" s="62"/>
    </row>
    <row r="1048299" spans="1:6">
      <c r="A1048299" s="62"/>
      <c r="B1048299" s="62"/>
      <c r="C1048299" s="62"/>
      <c r="D1048299" s="62"/>
      <c r="E1048299" s="62"/>
      <c r="F1048299" s="62"/>
    </row>
    <row r="1048300" spans="1:6">
      <c r="A1048300" s="62"/>
      <c r="B1048300" s="62"/>
      <c r="C1048300" s="62"/>
      <c r="D1048300" s="62"/>
      <c r="E1048300" s="62"/>
      <c r="F1048300" s="62"/>
    </row>
    <row r="1048301" spans="1:6">
      <c r="A1048301" s="62"/>
      <c r="B1048301" s="62"/>
      <c r="C1048301" s="62"/>
      <c r="D1048301" s="62"/>
      <c r="E1048301" s="62"/>
      <c r="F1048301" s="62"/>
    </row>
    <row r="1048302" spans="1:6">
      <c r="A1048302" s="62"/>
      <c r="B1048302" s="62"/>
      <c r="C1048302" s="62"/>
      <c r="D1048302" s="62"/>
      <c r="E1048302" s="62"/>
      <c r="F1048302" s="62"/>
    </row>
    <row r="1048303" spans="1:6">
      <c r="A1048303" s="62"/>
      <c r="B1048303" s="62"/>
      <c r="C1048303" s="62"/>
      <c r="D1048303" s="62"/>
      <c r="E1048303" s="62"/>
      <c r="F1048303" s="62"/>
    </row>
    <row r="1048304" spans="1:6">
      <c r="A1048304" s="62"/>
      <c r="B1048304" s="62"/>
      <c r="C1048304" s="62"/>
      <c r="D1048304" s="62"/>
      <c r="E1048304" s="62"/>
      <c r="F1048304" s="62"/>
    </row>
    <row r="1048305" spans="1:6">
      <c r="A1048305" s="62"/>
      <c r="B1048305" s="62"/>
      <c r="C1048305" s="62"/>
      <c r="D1048305" s="62"/>
      <c r="E1048305" s="62"/>
      <c r="F1048305" s="62"/>
    </row>
    <row r="1048306" spans="1:6">
      <c r="A1048306" s="62"/>
      <c r="B1048306" s="62"/>
      <c r="C1048306" s="62"/>
      <c r="D1048306" s="62"/>
      <c r="E1048306" s="62"/>
      <c r="F1048306" s="62"/>
    </row>
    <row r="1048307" spans="1:6">
      <c r="A1048307" s="62"/>
      <c r="B1048307" s="62"/>
      <c r="C1048307" s="62"/>
      <c r="D1048307" s="62"/>
      <c r="E1048307" s="62"/>
      <c r="F1048307" s="62"/>
    </row>
    <row r="1048308" spans="1:6">
      <c r="A1048308" s="62"/>
      <c r="B1048308" s="62"/>
      <c r="C1048308" s="62"/>
      <c r="D1048308" s="62"/>
      <c r="E1048308" s="62"/>
      <c r="F1048308" s="62"/>
    </row>
    <row r="1048309" spans="1:6">
      <c r="A1048309" s="62"/>
      <c r="B1048309" s="62"/>
      <c r="C1048309" s="62"/>
      <c r="D1048309" s="62"/>
      <c r="E1048309" s="62"/>
      <c r="F1048309" s="62"/>
    </row>
    <row r="1048310" spans="1:6">
      <c r="A1048310" s="62"/>
      <c r="B1048310" s="62"/>
      <c r="C1048310" s="62"/>
      <c r="D1048310" s="62"/>
      <c r="E1048310" s="62"/>
      <c r="F1048310" s="62"/>
    </row>
    <row r="1048311" spans="1:6">
      <c r="A1048311" s="62"/>
      <c r="B1048311" s="62"/>
      <c r="C1048311" s="62"/>
      <c r="D1048311" s="62"/>
      <c r="E1048311" s="62"/>
      <c r="F1048311" s="62"/>
    </row>
    <row r="1048312" spans="1:6">
      <c r="A1048312" s="62"/>
      <c r="B1048312" s="62"/>
      <c r="C1048312" s="62"/>
      <c r="D1048312" s="62"/>
      <c r="E1048312" s="62"/>
      <c r="F1048312" s="62"/>
    </row>
    <row r="1048313" spans="1:6">
      <c r="A1048313" s="62"/>
      <c r="B1048313" s="62"/>
      <c r="C1048313" s="62"/>
      <c r="D1048313" s="62"/>
      <c r="E1048313" s="62"/>
      <c r="F1048313" s="62"/>
    </row>
    <row r="1048314" spans="1:6">
      <c r="A1048314" s="62"/>
      <c r="B1048314" s="62"/>
      <c r="C1048314" s="62"/>
      <c r="D1048314" s="62"/>
      <c r="E1048314" s="62"/>
      <c r="F1048314" s="62"/>
    </row>
    <row r="1048315" spans="1:6">
      <c r="A1048315" s="62"/>
      <c r="B1048315" s="62"/>
      <c r="C1048315" s="62"/>
      <c r="D1048315" s="62"/>
      <c r="E1048315" s="62"/>
      <c r="F1048315" s="62"/>
    </row>
    <row r="1048316" spans="1:6">
      <c r="A1048316" s="62"/>
      <c r="B1048316" s="62"/>
      <c r="C1048316" s="62"/>
      <c r="D1048316" s="62"/>
      <c r="E1048316" s="62"/>
      <c r="F1048316" s="62"/>
    </row>
    <row r="1048317" spans="1:6">
      <c r="A1048317" s="62"/>
      <c r="B1048317" s="62"/>
      <c r="C1048317" s="62"/>
      <c r="D1048317" s="62"/>
      <c r="E1048317" s="62"/>
      <c r="F1048317" s="62"/>
    </row>
    <row r="1048318" spans="1:6">
      <c r="A1048318" s="62"/>
      <c r="B1048318" s="62"/>
      <c r="C1048318" s="62"/>
      <c r="D1048318" s="62"/>
      <c r="E1048318" s="62"/>
      <c r="F1048318" s="62"/>
    </row>
    <row r="1048319" spans="1:6">
      <c r="A1048319" s="62"/>
      <c r="B1048319" s="62"/>
      <c r="C1048319" s="62"/>
      <c r="D1048319" s="62"/>
      <c r="E1048319" s="62"/>
      <c r="F1048319" s="62"/>
    </row>
    <row r="1048320" spans="1:6">
      <c r="A1048320" s="62"/>
      <c r="B1048320" s="62"/>
      <c r="C1048320" s="62"/>
      <c r="D1048320" s="62"/>
      <c r="E1048320" s="62"/>
      <c r="F1048320" s="62"/>
    </row>
    <row r="1048321" spans="1:6">
      <c r="A1048321" s="62"/>
      <c r="B1048321" s="62"/>
      <c r="C1048321" s="62"/>
      <c r="D1048321" s="62"/>
      <c r="E1048321" s="62"/>
      <c r="F1048321" s="62"/>
    </row>
    <row r="1048322" spans="1:6">
      <c r="A1048322" s="62"/>
      <c r="B1048322" s="62"/>
      <c r="C1048322" s="62"/>
      <c r="D1048322" s="62"/>
      <c r="E1048322" s="62"/>
      <c r="F1048322" s="62"/>
    </row>
    <row r="1048323" spans="1:6">
      <c r="A1048323" s="62"/>
      <c r="B1048323" s="62"/>
      <c r="C1048323" s="62"/>
      <c r="D1048323" s="62"/>
      <c r="E1048323" s="62"/>
      <c r="F1048323" s="62"/>
    </row>
    <row r="1048324" spans="1:6">
      <c r="A1048324" s="62"/>
      <c r="B1048324" s="62"/>
      <c r="C1048324" s="62"/>
      <c r="D1048324" s="62"/>
      <c r="E1048324" s="62"/>
      <c r="F1048324" s="62"/>
    </row>
    <row r="1048325" spans="1:6">
      <c r="A1048325" s="62"/>
      <c r="B1048325" s="62"/>
      <c r="C1048325" s="62"/>
      <c r="D1048325" s="62"/>
      <c r="E1048325" s="62"/>
      <c r="F1048325" s="62"/>
    </row>
    <row r="1048326" spans="1:6">
      <c r="A1048326" s="62"/>
      <c r="B1048326" s="62"/>
      <c r="C1048326" s="62"/>
      <c r="D1048326" s="62"/>
      <c r="E1048326" s="62"/>
      <c r="F1048326" s="62"/>
    </row>
    <row r="1048327" spans="1:6">
      <c r="A1048327" s="62"/>
      <c r="B1048327" s="62"/>
      <c r="C1048327" s="62"/>
      <c r="D1048327" s="62"/>
      <c r="E1048327" s="62"/>
      <c r="F1048327" s="62"/>
    </row>
    <row r="1048328" spans="1:6">
      <c r="A1048328" s="62"/>
      <c r="B1048328" s="62"/>
      <c r="C1048328" s="62"/>
      <c r="D1048328" s="62"/>
      <c r="E1048328" s="62"/>
      <c r="F1048328" s="62"/>
    </row>
    <row r="1048329" spans="1:6">
      <c r="A1048329" s="62"/>
      <c r="B1048329" s="62"/>
      <c r="C1048329" s="62"/>
      <c r="D1048329" s="62"/>
      <c r="E1048329" s="62"/>
      <c r="F1048329" s="62"/>
    </row>
    <row r="1048330" spans="1:6">
      <c r="A1048330" s="62"/>
      <c r="B1048330" s="62"/>
      <c r="C1048330" s="62"/>
      <c r="D1048330" s="62"/>
      <c r="E1048330" s="62"/>
      <c r="F1048330" s="62"/>
    </row>
    <row r="1048331" spans="1:6">
      <c r="A1048331" s="62"/>
      <c r="B1048331" s="62"/>
      <c r="C1048331" s="62"/>
      <c r="D1048331" s="62"/>
      <c r="E1048331" s="62"/>
      <c r="F1048331" s="62"/>
    </row>
    <row r="1048332" spans="1:6">
      <c r="A1048332" s="62"/>
      <c r="B1048332" s="62"/>
      <c r="C1048332" s="62"/>
      <c r="D1048332" s="62"/>
      <c r="E1048332" s="62"/>
      <c r="F1048332" s="62"/>
    </row>
    <row r="1048333" spans="1:6">
      <c r="A1048333" s="62"/>
      <c r="B1048333" s="62"/>
      <c r="C1048333" s="62"/>
      <c r="D1048333" s="62"/>
      <c r="E1048333" s="62"/>
      <c r="F1048333" s="62"/>
    </row>
    <row r="1048334" spans="1:6">
      <c r="A1048334" s="62"/>
      <c r="B1048334" s="62"/>
      <c r="C1048334" s="62"/>
      <c r="D1048334" s="62"/>
      <c r="E1048334" s="62"/>
      <c r="F1048334" s="62"/>
    </row>
    <row r="1048335" spans="1:6">
      <c r="A1048335" s="62"/>
      <c r="B1048335" s="62"/>
      <c r="C1048335" s="62"/>
      <c r="D1048335" s="62"/>
      <c r="E1048335" s="62"/>
      <c r="F1048335" s="62"/>
    </row>
    <row r="1048336" spans="1:6">
      <c r="A1048336" s="62"/>
      <c r="B1048336" s="62"/>
      <c r="C1048336" s="62"/>
      <c r="D1048336" s="62"/>
      <c r="E1048336" s="62"/>
      <c r="F1048336" s="62"/>
    </row>
    <row r="1048337" spans="1:6">
      <c r="A1048337" s="62"/>
      <c r="B1048337" s="62"/>
      <c r="C1048337" s="62"/>
      <c r="D1048337" s="62"/>
      <c r="E1048337" s="62"/>
      <c r="F1048337" s="62"/>
    </row>
    <row r="1048338" spans="1:6">
      <c r="A1048338" s="62"/>
      <c r="B1048338" s="62"/>
      <c r="C1048338" s="62"/>
      <c r="D1048338" s="62"/>
      <c r="E1048338" s="62"/>
      <c r="F1048338" s="62"/>
    </row>
    <row r="1048339" spans="1:6">
      <c r="A1048339" s="62"/>
      <c r="B1048339" s="62"/>
      <c r="C1048339" s="62"/>
      <c r="D1048339" s="62"/>
      <c r="E1048339" s="62"/>
      <c r="F1048339" s="62"/>
    </row>
    <row r="1048340" spans="1:6">
      <c r="A1048340" s="62"/>
      <c r="B1048340" s="62"/>
      <c r="C1048340" s="62"/>
      <c r="D1048340" s="62"/>
      <c r="E1048340" s="62"/>
      <c r="F1048340" s="62"/>
    </row>
    <row r="1048341" spans="1:6">
      <c r="A1048341" s="62"/>
      <c r="B1048341" s="62"/>
      <c r="C1048341" s="62"/>
      <c r="D1048341" s="62"/>
      <c r="E1048341" s="62"/>
      <c r="F1048341" s="62"/>
    </row>
    <row r="1048342" spans="1:6">
      <c r="A1048342" s="62"/>
      <c r="B1048342" s="62"/>
      <c r="C1048342" s="62"/>
      <c r="D1048342" s="62"/>
      <c r="E1048342" s="62"/>
      <c r="F1048342" s="62"/>
    </row>
    <row r="1048343" spans="1:6">
      <c r="A1048343" s="62"/>
      <c r="B1048343" s="62"/>
      <c r="C1048343" s="62"/>
      <c r="D1048343" s="62"/>
      <c r="E1048343" s="62"/>
      <c r="F1048343" s="62"/>
    </row>
    <row r="1048344" spans="1:6">
      <c r="A1048344" s="62"/>
      <c r="B1048344" s="62"/>
      <c r="C1048344" s="62"/>
      <c r="D1048344" s="62"/>
      <c r="E1048344" s="62"/>
      <c r="F1048344" s="62"/>
    </row>
    <row r="1048345" spans="1:6">
      <c r="A1048345" s="62"/>
      <c r="B1048345" s="62"/>
      <c r="C1048345" s="62"/>
      <c r="D1048345" s="62"/>
      <c r="E1048345" s="62"/>
      <c r="F1048345" s="62"/>
    </row>
    <row r="1048346" spans="1:6">
      <c r="A1048346" s="62"/>
      <c r="B1048346" s="62"/>
      <c r="C1048346" s="62"/>
      <c r="D1048346" s="62"/>
      <c r="E1048346" s="62"/>
      <c r="F1048346" s="62"/>
    </row>
    <row r="1048347" spans="1:6">
      <c r="A1048347" s="62"/>
      <c r="B1048347" s="62"/>
      <c r="C1048347" s="62"/>
      <c r="D1048347" s="62"/>
      <c r="E1048347" s="62"/>
      <c r="F1048347" s="62"/>
    </row>
    <row r="1048348" spans="1:6">
      <c r="A1048348" s="62"/>
      <c r="B1048348" s="62"/>
      <c r="C1048348" s="62"/>
      <c r="D1048348" s="62"/>
      <c r="E1048348" s="62"/>
      <c r="F1048348" s="62"/>
    </row>
    <row r="1048349" spans="1:6">
      <c r="A1048349" s="62"/>
      <c r="B1048349" s="62"/>
      <c r="C1048349" s="62"/>
      <c r="D1048349" s="62"/>
      <c r="E1048349" s="62"/>
      <c r="F1048349" s="62"/>
    </row>
    <row r="1048350" spans="1:6">
      <c r="A1048350" s="62"/>
      <c r="B1048350" s="62"/>
      <c r="C1048350" s="62"/>
      <c r="D1048350" s="62"/>
      <c r="E1048350" s="62"/>
      <c r="F1048350" s="62"/>
    </row>
    <row r="1048351" spans="1:6">
      <c r="A1048351" s="62"/>
      <c r="B1048351" s="62"/>
      <c r="C1048351" s="62"/>
      <c r="D1048351" s="62"/>
      <c r="E1048351" s="62"/>
      <c r="F1048351" s="62"/>
    </row>
    <row r="1048352" spans="1:6">
      <c r="A1048352" s="62"/>
      <c r="B1048352" s="62"/>
      <c r="C1048352" s="62"/>
      <c r="D1048352" s="62"/>
      <c r="E1048352" s="62"/>
      <c r="F1048352" s="62"/>
    </row>
    <row r="1048353" spans="1:6">
      <c r="A1048353" s="62"/>
      <c r="B1048353" s="62"/>
      <c r="C1048353" s="62"/>
      <c r="D1048353" s="62"/>
      <c r="E1048353" s="62"/>
      <c r="F1048353" s="62"/>
    </row>
    <row r="1048354" spans="1:6">
      <c r="A1048354" s="62"/>
      <c r="B1048354" s="62"/>
      <c r="C1048354" s="62"/>
      <c r="D1048354" s="62"/>
      <c r="E1048354" s="62"/>
      <c r="F1048354" s="62"/>
    </row>
    <row r="1048355" spans="1:6">
      <c r="A1048355" s="62"/>
      <c r="B1048355" s="62"/>
      <c r="C1048355" s="62"/>
      <c r="D1048355" s="62"/>
      <c r="E1048355" s="62"/>
      <c r="F1048355" s="62"/>
    </row>
    <row r="1048356" spans="1:6">
      <c r="A1048356" s="62"/>
      <c r="B1048356" s="62"/>
      <c r="C1048356" s="62"/>
      <c r="D1048356" s="62"/>
      <c r="E1048356" s="62"/>
      <c r="F1048356" s="62"/>
    </row>
    <row r="1048357" spans="1:6">
      <c r="A1048357" s="62"/>
      <c r="B1048357" s="62"/>
      <c r="C1048357" s="62"/>
      <c r="D1048357" s="62"/>
      <c r="E1048357" s="62"/>
      <c r="F1048357" s="62"/>
    </row>
    <row r="1048358" spans="1:6">
      <c r="A1048358" s="62"/>
      <c r="B1048358" s="62"/>
      <c r="C1048358" s="62"/>
      <c r="D1048358" s="62"/>
      <c r="E1048358" s="62"/>
      <c r="F1048358" s="62"/>
    </row>
    <row r="1048359" spans="1:6">
      <c r="A1048359" s="62"/>
      <c r="B1048359" s="62"/>
      <c r="C1048359" s="62"/>
      <c r="D1048359" s="62"/>
      <c r="E1048359" s="62"/>
      <c r="F1048359" s="62"/>
    </row>
    <row r="1048360" spans="1:6">
      <c r="A1048360" s="62"/>
      <c r="B1048360" s="62"/>
      <c r="C1048360" s="62"/>
      <c r="D1048360" s="62"/>
      <c r="E1048360" s="62"/>
      <c r="F1048360" s="62"/>
    </row>
    <row r="1048361" spans="1:6">
      <c r="A1048361" s="62"/>
      <c r="B1048361" s="62"/>
      <c r="C1048361" s="62"/>
      <c r="D1048361" s="62"/>
      <c r="E1048361" s="62"/>
      <c r="F1048361" s="62"/>
    </row>
    <row r="1048362" spans="1:6">
      <c r="A1048362" s="62"/>
      <c r="B1048362" s="62"/>
      <c r="C1048362" s="62"/>
      <c r="D1048362" s="62"/>
      <c r="E1048362" s="62"/>
      <c r="F1048362" s="62"/>
    </row>
    <row r="1048363" spans="1:6">
      <c r="A1048363" s="62"/>
      <c r="B1048363" s="62"/>
      <c r="C1048363" s="62"/>
      <c r="D1048363" s="62"/>
      <c r="E1048363" s="62"/>
      <c r="F1048363" s="62"/>
    </row>
    <row r="1048364" spans="1:6">
      <c r="A1048364" s="62"/>
      <c r="B1048364" s="62"/>
      <c r="C1048364" s="62"/>
      <c r="D1048364" s="62"/>
      <c r="E1048364" s="62"/>
      <c r="F1048364" s="62"/>
    </row>
    <row r="1048365" spans="1:6">
      <c r="A1048365" s="62"/>
      <c r="B1048365" s="62"/>
      <c r="C1048365" s="62"/>
      <c r="D1048365" s="62"/>
      <c r="E1048365" s="62"/>
      <c r="F1048365" s="62"/>
    </row>
    <row r="1048366" spans="1:6">
      <c r="A1048366" s="62"/>
      <c r="B1048366" s="62"/>
      <c r="C1048366" s="62"/>
      <c r="D1048366" s="62"/>
      <c r="E1048366" s="62"/>
      <c r="F1048366" s="62"/>
    </row>
    <row r="1048367" spans="1:6">
      <c r="A1048367" s="62"/>
      <c r="B1048367" s="62"/>
      <c r="C1048367" s="62"/>
      <c r="D1048367" s="62"/>
      <c r="E1048367" s="62"/>
      <c r="F1048367" s="62"/>
    </row>
    <row r="1048368" spans="1:6">
      <c r="A1048368" s="62"/>
      <c r="B1048368" s="62"/>
      <c r="C1048368" s="62"/>
      <c r="D1048368" s="62"/>
      <c r="E1048368" s="62"/>
      <c r="F1048368" s="62"/>
    </row>
    <row r="1048369" spans="1:6">
      <c r="A1048369" s="62"/>
      <c r="B1048369" s="62"/>
      <c r="C1048369" s="62"/>
      <c r="D1048369" s="62"/>
      <c r="E1048369" s="62"/>
      <c r="F1048369" s="62"/>
    </row>
    <row r="1048370" spans="1:6">
      <c r="A1048370" s="62"/>
      <c r="B1048370" s="62"/>
      <c r="C1048370" s="62"/>
      <c r="D1048370" s="62"/>
      <c r="E1048370" s="62"/>
      <c r="F1048370" s="62"/>
    </row>
    <row r="1048371" spans="1:6">
      <c r="A1048371" s="62"/>
      <c r="B1048371" s="62"/>
      <c r="C1048371" s="62"/>
      <c r="D1048371" s="62"/>
      <c r="E1048371" s="62"/>
      <c r="F1048371" s="62"/>
    </row>
    <row r="1048372" spans="1:6">
      <c r="A1048372" s="62"/>
      <c r="B1048372" s="62"/>
      <c r="C1048372" s="62"/>
      <c r="D1048372" s="62"/>
      <c r="E1048372" s="62"/>
      <c r="F1048372" s="62"/>
    </row>
    <row r="1048373" spans="1:6">
      <c r="A1048373" s="62"/>
      <c r="B1048373" s="62"/>
      <c r="C1048373" s="62"/>
      <c r="D1048373" s="62"/>
      <c r="E1048373" s="62"/>
      <c r="F1048373" s="62"/>
    </row>
    <row r="1048374" spans="1:6">
      <c r="A1048374" s="62"/>
      <c r="B1048374" s="62"/>
      <c r="C1048374" s="62"/>
      <c r="D1048374" s="62"/>
      <c r="E1048374" s="62"/>
      <c r="F1048374" s="62"/>
    </row>
    <row r="1048375" spans="1:6">
      <c r="A1048375" s="62"/>
      <c r="B1048375" s="62"/>
      <c r="C1048375" s="62"/>
      <c r="D1048375" s="62"/>
      <c r="E1048375" s="62"/>
      <c r="F1048375" s="62"/>
    </row>
    <row r="1048376" spans="1:6">
      <c r="A1048376" s="62"/>
      <c r="B1048376" s="62"/>
      <c r="C1048376" s="62"/>
      <c r="D1048376" s="62"/>
      <c r="E1048376" s="62"/>
      <c r="F1048376" s="62"/>
    </row>
    <row r="1048377" spans="1:6">
      <c r="A1048377" s="62"/>
      <c r="B1048377" s="62"/>
      <c r="C1048377" s="62"/>
      <c r="D1048377" s="62"/>
      <c r="E1048377" s="62"/>
      <c r="F1048377" s="62"/>
    </row>
    <row r="1048378" spans="1:6">
      <c r="A1048378" s="62"/>
      <c r="B1048378" s="62"/>
      <c r="C1048378" s="62"/>
      <c r="D1048378" s="62"/>
      <c r="E1048378" s="62"/>
      <c r="F1048378" s="62"/>
    </row>
    <row r="1048379" spans="1:6">
      <c r="A1048379" s="62"/>
      <c r="B1048379" s="62"/>
      <c r="C1048379" s="62"/>
      <c r="D1048379" s="62"/>
      <c r="E1048379" s="62"/>
      <c r="F1048379" s="62"/>
    </row>
    <row r="1048380" spans="1:6">
      <c r="A1048380" s="62"/>
      <c r="B1048380" s="62"/>
      <c r="C1048380" s="62"/>
      <c r="D1048380" s="62"/>
      <c r="E1048380" s="62"/>
      <c r="F1048380" s="62"/>
    </row>
    <row r="1048381" spans="1:6">
      <c r="A1048381" s="62"/>
      <c r="B1048381" s="62"/>
      <c r="C1048381" s="62"/>
      <c r="D1048381" s="62"/>
      <c r="E1048381" s="62"/>
      <c r="F1048381" s="62"/>
    </row>
    <row r="1048382" spans="1:6">
      <c r="A1048382" s="62"/>
      <c r="B1048382" s="62"/>
      <c r="C1048382" s="62"/>
      <c r="D1048382" s="62"/>
      <c r="E1048382" s="62"/>
      <c r="F1048382" s="62"/>
    </row>
    <row r="1048383" spans="1:6">
      <c r="A1048383" s="62"/>
      <c r="B1048383" s="62"/>
      <c r="C1048383" s="62"/>
      <c r="D1048383" s="62"/>
      <c r="E1048383" s="62"/>
      <c r="F1048383" s="62"/>
    </row>
    <row r="1048384" spans="1:6">
      <c r="A1048384" s="62"/>
      <c r="B1048384" s="62"/>
      <c r="C1048384" s="62"/>
      <c r="D1048384" s="62"/>
      <c r="E1048384" s="62"/>
      <c r="F1048384" s="62"/>
    </row>
    <row r="1048385" spans="1:6">
      <c r="A1048385" s="62"/>
      <c r="B1048385" s="62"/>
      <c r="C1048385" s="62"/>
      <c r="D1048385" s="62"/>
      <c r="E1048385" s="62"/>
      <c r="F1048385" s="62"/>
    </row>
    <row r="1048386" spans="1:6">
      <c r="A1048386" s="62"/>
      <c r="B1048386" s="62"/>
      <c r="C1048386" s="62"/>
      <c r="D1048386" s="62"/>
      <c r="E1048386" s="62"/>
      <c r="F1048386" s="62"/>
    </row>
    <row r="1048387" spans="1:6">
      <c r="A1048387" s="62"/>
      <c r="B1048387" s="62"/>
      <c r="C1048387" s="62"/>
      <c r="D1048387" s="62"/>
      <c r="E1048387" s="62"/>
      <c r="F1048387" s="62"/>
    </row>
    <row r="1048388" spans="1:6">
      <c r="A1048388" s="62"/>
      <c r="B1048388" s="62"/>
      <c r="C1048388" s="62"/>
      <c r="D1048388" s="62"/>
      <c r="E1048388" s="62"/>
      <c r="F1048388" s="62"/>
    </row>
    <row r="1048389" spans="1:6">
      <c r="A1048389" s="62"/>
      <c r="B1048389" s="62"/>
      <c r="C1048389" s="62"/>
      <c r="D1048389" s="62"/>
      <c r="E1048389" s="62"/>
      <c r="F1048389" s="62"/>
    </row>
    <row r="1048390" spans="1:6">
      <c r="A1048390" s="62"/>
      <c r="B1048390" s="62"/>
      <c r="C1048390" s="62"/>
      <c r="D1048390" s="62"/>
      <c r="E1048390" s="62"/>
      <c r="F1048390" s="62"/>
    </row>
    <row r="1048391" spans="1:6">
      <c r="A1048391" s="62"/>
      <c r="B1048391" s="62"/>
      <c r="C1048391" s="62"/>
      <c r="D1048391" s="62"/>
      <c r="E1048391" s="62"/>
      <c r="F1048391" s="62"/>
    </row>
    <row r="1048392" spans="1:6">
      <c r="A1048392" s="62"/>
      <c r="B1048392" s="62"/>
      <c r="C1048392" s="62"/>
      <c r="D1048392" s="62"/>
      <c r="E1048392" s="62"/>
      <c r="F1048392" s="62"/>
    </row>
    <row r="1048393" spans="1:6">
      <c r="A1048393" s="62"/>
      <c r="B1048393" s="62"/>
      <c r="C1048393" s="62"/>
      <c r="D1048393" s="62"/>
      <c r="E1048393" s="62"/>
      <c r="F1048393" s="62"/>
    </row>
    <row r="1048394" spans="1:6">
      <c r="A1048394" s="62"/>
      <c r="B1048394" s="62"/>
      <c r="C1048394" s="62"/>
      <c r="D1048394" s="62"/>
      <c r="E1048394" s="62"/>
      <c r="F1048394" s="62"/>
    </row>
    <row r="1048395" spans="1:6">
      <c r="A1048395" s="62"/>
      <c r="B1048395" s="62"/>
      <c r="C1048395" s="62"/>
      <c r="D1048395" s="62"/>
      <c r="E1048395" s="62"/>
      <c r="F1048395" s="62"/>
    </row>
    <row r="1048396" spans="1:6">
      <c r="A1048396" s="62"/>
      <c r="B1048396" s="62"/>
      <c r="C1048396" s="62"/>
      <c r="D1048396" s="62"/>
      <c r="E1048396" s="62"/>
      <c r="F1048396" s="62"/>
    </row>
    <row r="1048397" spans="1:6">
      <c r="A1048397" s="62"/>
      <c r="B1048397" s="62"/>
      <c r="C1048397" s="62"/>
      <c r="D1048397" s="62"/>
      <c r="E1048397" s="62"/>
      <c r="F1048397" s="62"/>
    </row>
    <row r="1048398" spans="1:6">
      <c r="A1048398" s="62"/>
      <c r="B1048398" s="62"/>
      <c r="C1048398" s="62"/>
      <c r="D1048398" s="62"/>
      <c r="E1048398" s="62"/>
      <c r="F1048398" s="62"/>
    </row>
    <row r="1048399" spans="1:6">
      <c r="A1048399" s="62"/>
      <c r="B1048399" s="62"/>
      <c r="C1048399" s="62"/>
      <c r="D1048399" s="62"/>
      <c r="E1048399" s="62"/>
      <c r="F1048399" s="62"/>
    </row>
    <row r="1048400" spans="1:6">
      <c r="A1048400" s="62"/>
      <c r="B1048400" s="62"/>
      <c r="C1048400" s="62"/>
      <c r="D1048400" s="62"/>
      <c r="E1048400" s="62"/>
      <c r="F1048400" s="62"/>
    </row>
    <row r="1048401" spans="1:6">
      <c r="A1048401" s="62"/>
      <c r="B1048401" s="62"/>
      <c r="C1048401" s="62"/>
      <c r="D1048401" s="62"/>
      <c r="E1048401" s="62"/>
      <c r="F1048401" s="62"/>
    </row>
    <row r="1048402" spans="1:6">
      <c r="A1048402" s="62"/>
      <c r="B1048402" s="62"/>
      <c r="C1048402" s="62"/>
      <c r="D1048402" s="62"/>
      <c r="E1048402" s="62"/>
      <c r="F1048402" s="62"/>
    </row>
    <row r="1048403" spans="1:6">
      <c r="A1048403" s="62"/>
      <c r="B1048403" s="62"/>
      <c r="C1048403" s="62"/>
      <c r="D1048403" s="62"/>
      <c r="E1048403" s="62"/>
      <c r="F1048403" s="62"/>
    </row>
    <row r="1048404" spans="1:6">
      <c r="A1048404" s="62"/>
      <c r="B1048404" s="62"/>
      <c r="C1048404" s="62"/>
      <c r="D1048404" s="62"/>
      <c r="E1048404" s="62"/>
      <c r="F1048404" s="62"/>
    </row>
    <row r="1048405" spans="1:6">
      <c r="A1048405" s="62"/>
      <c r="B1048405" s="62"/>
      <c r="C1048405" s="62"/>
      <c r="D1048405" s="62"/>
      <c r="E1048405" s="62"/>
      <c r="F1048405" s="62"/>
    </row>
    <row r="1048406" spans="1:6">
      <c r="A1048406" s="62"/>
      <c r="B1048406" s="62"/>
      <c r="C1048406" s="62"/>
      <c r="D1048406" s="62"/>
      <c r="E1048406" s="62"/>
      <c r="F1048406" s="62"/>
    </row>
    <row r="1048407" spans="1:6">
      <c r="A1048407" s="62"/>
      <c r="B1048407" s="62"/>
      <c r="C1048407" s="62"/>
      <c r="D1048407" s="62"/>
      <c r="E1048407" s="62"/>
      <c r="F1048407" s="62"/>
    </row>
    <row r="1048408" spans="1:6">
      <c r="A1048408" s="62"/>
      <c r="B1048408" s="62"/>
      <c r="C1048408" s="62"/>
      <c r="D1048408" s="62"/>
      <c r="E1048408" s="62"/>
      <c r="F1048408" s="62"/>
    </row>
    <row r="1048409" spans="1:6">
      <c r="A1048409" s="62"/>
      <c r="B1048409" s="62"/>
      <c r="C1048409" s="62"/>
      <c r="D1048409" s="62"/>
      <c r="E1048409" s="62"/>
      <c r="F1048409" s="62"/>
    </row>
    <row r="1048410" spans="1:6">
      <c r="A1048410" s="62"/>
      <c r="B1048410" s="62"/>
      <c r="C1048410" s="62"/>
      <c r="D1048410" s="62"/>
      <c r="E1048410" s="62"/>
      <c r="F1048410" s="62"/>
    </row>
    <row r="1048411" spans="1:6">
      <c r="A1048411" s="62"/>
      <c r="B1048411" s="62"/>
      <c r="C1048411" s="62"/>
      <c r="D1048411" s="62"/>
      <c r="E1048411" s="62"/>
      <c r="F1048411" s="62"/>
    </row>
    <row r="1048412" spans="1:6">
      <c r="A1048412" s="62"/>
      <c r="B1048412" s="62"/>
      <c r="C1048412" s="62"/>
      <c r="D1048412" s="62"/>
      <c r="E1048412" s="62"/>
      <c r="F1048412" s="62"/>
    </row>
    <row r="1048413" spans="1:6">
      <c r="A1048413" s="62"/>
      <c r="B1048413" s="62"/>
      <c r="C1048413" s="62"/>
      <c r="D1048413" s="62"/>
      <c r="E1048413" s="62"/>
      <c r="F1048413" s="62"/>
    </row>
    <row r="1048414" spans="1:6">
      <c r="A1048414" s="62"/>
      <c r="B1048414" s="62"/>
      <c r="C1048414" s="62"/>
      <c r="D1048414" s="62"/>
      <c r="E1048414" s="62"/>
      <c r="F1048414" s="62"/>
    </row>
    <row r="1048415" spans="1:6">
      <c r="A1048415" s="62"/>
      <c r="B1048415" s="62"/>
      <c r="C1048415" s="62"/>
      <c r="D1048415" s="62"/>
      <c r="E1048415" s="62"/>
      <c r="F1048415" s="62"/>
    </row>
    <row r="1048416" spans="1:6">
      <c r="A1048416" s="62"/>
      <c r="B1048416" s="62"/>
      <c r="C1048416" s="62"/>
      <c r="D1048416" s="62"/>
      <c r="E1048416" s="62"/>
      <c r="F1048416" s="62"/>
    </row>
    <row r="1048417" spans="1:6">
      <c r="A1048417" s="62"/>
      <c r="B1048417" s="62"/>
      <c r="C1048417" s="62"/>
      <c r="D1048417" s="62"/>
      <c r="E1048417" s="62"/>
      <c r="F1048417" s="62"/>
    </row>
    <row r="1048418" spans="1:6">
      <c r="A1048418" s="62"/>
      <c r="B1048418" s="62"/>
      <c r="C1048418" s="62"/>
      <c r="D1048418" s="62"/>
      <c r="E1048418" s="62"/>
      <c r="F1048418" s="62"/>
    </row>
    <row r="1048419" spans="1:6">
      <c r="A1048419" s="62"/>
      <c r="B1048419" s="62"/>
      <c r="C1048419" s="62"/>
      <c r="D1048419" s="62"/>
      <c r="E1048419" s="62"/>
      <c r="F1048419" s="62"/>
    </row>
    <row r="1048420" spans="1:6">
      <c r="A1048420" s="62"/>
      <c r="B1048420" s="62"/>
      <c r="C1048420" s="62"/>
      <c r="D1048420" s="62"/>
      <c r="E1048420" s="62"/>
      <c r="F1048420" s="62"/>
    </row>
    <row r="1048421" spans="1:6">
      <c r="A1048421" s="62"/>
      <c r="B1048421" s="62"/>
      <c r="C1048421" s="62"/>
      <c r="D1048421" s="62"/>
      <c r="E1048421" s="62"/>
      <c r="F1048421" s="62"/>
    </row>
    <row r="1048422" spans="1:6">
      <c r="A1048422" s="62"/>
      <c r="B1048422" s="62"/>
      <c r="C1048422" s="62"/>
      <c r="D1048422" s="62"/>
      <c r="E1048422" s="62"/>
      <c r="F1048422" s="62"/>
    </row>
    <row r="1048423" spans="1:6">
      <c r="A1048423" s="62"/>
      <c r="B1048423" s="62"/>
      <c r="C1048423" s="62"/>
      <c r="D1048423" s="62"/>
      <c r="E1048423" s="62"/>
      <c r="F1048423" s="62"/>
    </row>
    <row r="1048424" spans="1:6">
      <c r="A1048424" s="62"/>
      <c r="B1048424" s="62"/>
      <c r="C1048424" s="62"/>
      <c r="D1048424" s="62"/>
      <c r="E1048424" s="62"/>
      <c r="F1048424" s="62"/>
    </row>
    <row r="1048425" spans="1:6">
      <c r="A1048425" s="62"/>
      <c r="B1048425" s="62"/>
      <c r="C1048425" s="62"/>
      <c r="D1048425" s="62"/>
      <c r="E1048425" s="62"/>
      <c r="F1048425" s="62"/>
    </row>
    <row r="1048426" spans="1:6">
      <c r="A1048426" s="62"/>
      <c r="B1048426" s="62"/>
      <c r="C1048426" s="62"/>
      <c r="D1048426" s="62"/>
      <c r="E1048426" s="62"/>
      <c r="F1048426" s="62"/>
    </row>
    <row r="1048427" spans="1:6">
      <c r="A1048427" s="62"/>
      <c r="B1048427" s="62"/>
      <c r="C1048427" s="62"/>
      <c r="D1048427" s="62"/>
      <c r="E1048427" s="62"/>
      <c r="F1048427" s="62"/>
    </row>
    <row r="1048428" spans="1:6">
      <c r="A1048428" s="62"/>
      <c r="B1048428" s="62"/>
      <c r="C1048428" s="62"/>
      <c r="D1048428" s="62"/>
      <c r="E1048428" s="62"/>
      <c r="F1048428" s="62"/>
    </row>
    <row r="1048429" spans="1:6">
      <c r="A1048429" s="62"/>
      <c r="B1048429" s="62"/>
      <c r="C1048429" s="62"/>
      <c r="D1048429" s="62"/>
      <c r="E1048429" s="62"/>
      <c r="F1048429" s="62"/>
    </row>
    <row r="1048430" spans="1:6">
      <c r="A1048430" s="62"/>
      <c r="B1048430" s="62"/>
      <c r="C1048430" s="62"/>
      <c r="D1048430" s="62"/>
      <c r="E1048430" s="62"/>
      <c r="F1048430" s="62"/>
    </row>
    <row r="1048431" spans="1:6">
      <c r="A1048431" s="62"/>
      <c r="B1048431" s="62"/>
      <c r="C1048431" s="62"/>
      <c r="D1048431" s="62"/>
      <c r="E1048431" s="62"/>
      <c r="F1048431" s="62"/>
    </row>
    <row r="1048432" spans="1:6">
      <c r="A1048432" s="62"/>
      <c r="B1048432" s="62"/>
      <c r="C1048432" s="62"/>
      <c r="D1048432" s="62"/>
      <c r="E1048432" s="62"/>
      <c r="F1048432" s="62"/>
    </row>
    <row r="1048433" spans="1:6">
      <c r="A1048433" s="62"/>
      <c r="B1048433" s="62"/>
      <c r="C1048433" s="62"/>
      <c r="D1048433" s="62"/>
      <c r="E1048433" s="62"/>
      <c r="F1048433" s="62"/>
    </row>
    <row r="1048434" spans="1:6">
      <c r="A1048434" s="62"/>
      <c r="B1048434" s="62"/>
      <c r="C1048434" s="62"/>
      <c r="D1048434" s="62"/>
      <c r="E1048434" s="62"/>
      <c r="F1048434" s="62"/>
    </row>
    <row r="1048435" spans="1:6">
      <c r="A1048435" s="62"/>
      <c r="B1048435" s="62"/>
      <c r="C1048435" s="62"/>
      <c r="D1048435" s="62"/>
      <c r="E1048435" s="62"/>
      <c r="F1048435" s="62"/>
    </row>
    <row r="1048436" spans="1:6">
      <c r="A1048436" s="62"/>
      <c r="B1048436" s="62"/>
      <c r="C1048436" s="62"/>
      <c r="D1048436" s="62"/>
      <c r="E1048436" s="62"/>
      <c r="F1048436" s="62"/>
    </row>
    <row r="1048437" spans="1:6">
      <c r="A1048437" s="62"/>
      <c r="B1048437" s="62"/>
      <c r="C1048437" s="62"/>
      <c r="D1048437" s="62"/>
      <c r="E1048437" s="62"/>
      <c r="F1048437" s="62"/>
    </row>
    <row r="1048438" spans="1:6">
      <c r="A1048438" s="62"/>
      <c r="B1048438" s="62"/>
      <c r="C1048438" s="62"/>
      <c r="D1048438" s="62"/>
      <c r="E1048438" s="62"/>
      <c r="F1048438" s="62"/>
    </row>
    <row r="1048439" spans="1:6">
      <c r="A1048439" s="62"/>
      <c r="B1048439" s="62"/>
      <c r="C1048439" s="62"/>
      <c r="D1048439" s="62"/>
      <c r="E1048439" s="62"/>
      <c r="F1048439" s="62"/>
    </row>
    <row r="1048440" spans="1:6">
      <c r="A1048440" s="62"/>
      <c r="B1048440" s="62"/>
      <c r="C1048440" s="62"/>
      <c r="D1048440" s="62"/>
      <c r="E1048440" s="62"/>
      <c r="F1048440" s="62"/>
    </row>
    <row r="1048441" spans="1:6">
      <c r="A1048441" s="62"/>
      <c r="B1048441" s="62"/>
      <c r="C1048441" s="62"/>
      <c r="D1048441" s="62"/>
      <c r="E1048441" s="62"/>
      <c r="F1048441" s="62"/>
    </row>
    <row r="1048442" spans="1:6">
      <c r="A1048442" s="62"/>
      <c r="B1048442" s="62"/>
      <c r="C1048442" s="62"/>
      <c r="D1048442" s="62"/>
      <c r="E1048442" s="62"/>
      <c r="F1048442" s="62"/>
    </row>
    <row r="1048443" spans="1:6">
      <c r="A1048443" s="62"/>
      <c r="B1048443" s="62"/>
      <c r="C1048443" s="62"/>
      <c r="D1048443" s="62"/>
      <c r="E1048443" s="62"/>
      <c r="F1048443" s="62"/>
    </row>
    <row r="1048444" spans="1:6">
      <c r="A1048444" s="62"/>
      <c r="B1048444" s="62"/>
      <c r="C1048444" s="62"/>
      <c r="D1048444" s="62"/>
      <c r="E1048444" s="62"/>
      <c r="F1048444" s="62"/>
    </row>
    <row r="1048445" spans="1:6">
      <c r="A1048445" s="62"/>
      <c r="B1048445" s="62"/>
      <c r="C1048445" s="62"/>
      <c r="D1048445" s="62"/>
      <c r="E1048445" s="62"/>
      <c r="F1048445" s="62"/>
    </row>
    <row r="1048446" spans="1:6">
      <c r="A1048446" s="62"/>
      <c r="B1048446" s="62"/>
      <c r="C1048446" s="62"/>
      <c r="D1048446" s="62"/>
      <c r="E1048446" s="62"/>
      <c r="F1048446" s="62"/>
    </row>
    <row r="1048447" spans="1:6">
      <c r="A1048447" s="62"/>
      <c r="B1048447" s="62"/>
      <c r="C1048447" s="62"/>
      <c r="D1048447" s="62"/>
      <c r="E1048447" s="62"/>
      <c r="F1048447" s="62"/>
    </row>
    <row r="1048448" spans="1:6">
      <c r="A1048448" s="62"/>
      <c r="B1048448" s="62"/>
      <c r="C1048448" s="62"/>
      <c r="D1048448" s="62"/>
      <c r="E1048448" s="62"/>
      <c r="F1048448" s="62"/>
    </row>
    <row r="1048449" spans="1:6">
      <c r="A1048449" s="62"/>
      <c r="B1048449" s="62"/>
      <c r="C1048449" s="62"/>
      <c r="D1048449" s="62"/>
      <c r="E1048449" s="62"/>
      <c r="F1048449" s="62"/>
    </row>
    <row r="1048450" spans="1:6">
      <c r="A1048450" s="62"/>
      <c r="B1048450" s="62"/>
      <c r="C1048450" s="62"/>
      <c r="D1048450" s="62"/>
      <c r="E1048450" s="62"/>
      <c r="F1048450" s="62"/>
    </row>
    <row r="1048451" spans="1:6">
      <c r="A1048451" s="62"/>
      <c r="B1048451" s="62"/>
      <c r="C1048451" s="62"/>
      <c r="D1048451" s="62"/>
      <c r="E1048451" s="62"/>
      <c r="F1048451" s="62"/>
    </row>
    <row r="1048452" spans="1:6">
      <c r="A1048452" s="62"/>
      <c r="B1048452" s="62"/>
      <c r="C1048452" s="62"/>
      <c r="D1048452" s="62"/>
      <c r="E1048452" s="62"/>
      <c r="F1048452" s="62"/>
    </row>
    <row r="1048453" spans="1:6">
      <c r="A1048453" s="62"/>
      <c r="B1048453" s="62"/>
      <c r="C1048453" s="62"/>
      <c r="D1048453" s="62"/>
      <c r="E1048453" s="62"/>
      <c r="F1048453" s="62"/>
    </row>
    <row r="1048454" spans="1:6">
      <c r="A1048454" s="62"/>
      <c r="B1048454" s="62"/>
      <c r="C1048454" s="62"/>
      <c r="D1048454" s="62"/>
      <c r="E1048454" s="62"/>
      <c r="F1048454" s="62"/>
    </row>
    <row r="1048455" spans="1:6">
      <c r="A1048455" s="62"/>
      <c r="B1048455" s="62"/>
      <c r="C1048455" s="62"/>
      <c r="D1048455" s="62"/>
      <c r="E1048455" s="62"/>
      <c r="F1048455" s="62"/>
    </row>
    <row r="1048456" spans="1:6">
      <c r="A1048456" s="62"/>
      <c r="B1048456" s="62"/>
      <c r="C1048456" s="62"/>
      <c r="D1048456" s="62"/>
      <c r="E1048456" s="62"/>
      <c r="F1048456" s="62"/>
    </row>
    <row r="1048457" spans="1:6">
      <c r="A1048457" s="62"/>
      <c r="B1048457" s="62"/>
      <c r="C1048457" s="62"/>
      <c r="D1048457" s="62"/>
      <c r="E1048457" s="62"/>
      <c r="F1048457" s="62"/>
    </row>
    <row r="1048458" spans="1:6">
      <c r="A1048458" s="62"/>
      <c r="B1048458" s="62"/>
      <c r="C1048458" s="62"/>
      <c r="D1048458" s="62"/>
      <c r="E1048458" s="62"/>
      <c r="F1048458" s="62"/>
    </row>
    <row r="1048459" spans="1:6">
      <c r="A1048459" s="62"/>
      <c r="B1048459" s="62"/>
      <c r="C1048459" s="62"/>
      <c r="D1048459" s="62"/>
      <c r="E1048459" s="62"/>
      <c r="F1048459" s="62"/>
    </row>
    <row r="1048460" spans="1:6">
      <c r="A1048460" s="62"/>
      <c r="B1048460" s="62"/>
      <c r="C1048460" s="62"/>
      <c r="D1048460" s="62"/>
      <c r="E1048460" s="62"/>
      <c r="F1048460" s="62"/>
    </row>
    <row r="1048461" spans="1:6">
      <c r="A1048461" s="62"/>
      <c r="B1048461" s="62"/>
      <c r="C1048461" s="62"/>
      <c r="D1048461" s="62"/>
      <c r="E1048461" s="62"/>
      <c r="F1048461" s="62"/>
    </row>
    <row r="1048462" spans="1:6">
      <c r="A1048462" s="62"/>
      <c r="B1048462" s="62"/>
      <c r="C1048462" s="62"/>
      <c r="D1048462" s="62"/>
      <c r="E1048462" s="62"/>
      <c r="F1048462" s="62"/>
    </row>
    <row r="1048463" spans="1:6">
      <c r="A1048463" s="62"/>
      <c r="B1048463" s="62"/>
      <c r="C1048463" s="62"/>
      <c r="D1048463" s="62"/>
      <c r="E1048463" s="62"/>
      <c r="F1048463" s="62"/>
    </row>
    <row r="1048464" spans="1:6">
      <c r="A1048464" s="62"/>
      <c r="B1048464" s="62"/>
      <c r="C1048464" s="62"/>
      <c r="D1048464" s="62"/>
      <c r="E1048464" s="62"/>
      <c r="F1048464" s="62"/>
    </row>
    <row r="1048465" spans="1:6">
      <c r="A1048465" s="62"/>
      <c r="B1048465" s="62"/>
      <c r="C1048465" s="62"/>
      <c r="D1048465" s="62"/>
      <c r="E1048465" s="62"/>
      <c r="F1048465" s="62"/>
    </row>
    <row r="1048466" spans="1:6">
      <c r="A1048466" s="62"/>
      <c r="B1048466" s="62"/>
      <c r="C1048466" s="62"/>
      <c r="D1048466" s="62"/>
      <c r="E1048466" s="62"/>
      <c r="F1048466" s="62"/>
    </row>
    <row r="1048467" spans="1:6">
      <c r="A1048467" s="62"/>
      <c r="B1048467" s="62"/>
      <c r="C1048467" s="62"/>
      <c r="D1048467" s="62"/>
      <c r="E1048467" s="62"/>
      <c r="F1048467" s="62"/>
    </row>
    <row r="1048468" spans="1:6">
      <c r="A1048468" s="62"/>
      <c r="B1048468" s="62"/>
      <c r="C1048468" s="62"/>
      <c r="D1048468" s="62"/>
      <c r="E1048468" s="62"/>
      <c r="F1048468" s="62"/>
    </row>
    <row r="1048469" spans="1:6">
      <c r="A1048469" s="62"/>
      <c r="B1048469" s="62"/>
      <c r="C1048469" s="62"/>
      <c r="D1048469" s="62"/>
      <c r="E1048469" s="62"/>
      <c r="F1048469" s="62"/>
    </row>
    <row r="1048470" spans="1:6">
      <c r="A1048470" s="62"/>
      <c r="B1048470" s="62"/>
      <c r="C1048470" s="62"/>
      <c r="D1048470" s="62"/>
      <c r="E1048470" s="62"/>
      <c r="F1048470" s="62"/>
    </row>
    <row r="1048471" spans="1:6">
      <c r="A1048471" s="62"/>
      <c r="B1048471" s="62"/>
      <c r="C1048471" s="62"/>
      <c r="D1048471" s="62"/>
      <c r="E1048471" s="62"/>
      <c r="F1048471" s="62"/>
    </row>
    <row r="1048472" spans="1:6">
      <c r="A1048472" s="62"/>
      <c r="B1048472" s="62"/>
      <c r="C1048472" s="62"/>
      <c r="D1048472" s="62"/>
      <c r="E1048472" s="62"/>
      <c r="F1048472" s="62"/>
    </row>
    <row r="1048473" spans="1:6">
      <c r="A1048473" s="62"/>
      <c r="B1048473" s="62"/>
      <c r="C1048473" s="62"/>
      <c r="D1048473" s="62"/>
      <c r="E1048473" s="62"/>
      <c r="F1048473" s="62"/>
    </row>
    <row r="1048474" spans="1:6">
      <c r="A1048474" s="62"/>
      <c r="B1048474" s="62"/>
      <c r="C1048474" s="62"/>
      <c r="D1048474" s="62"/>
      <c r="E1048474" s="62"/>
      <c r="F1048474" s="62"/>
    </row>
    <row r="1048475" spans="1:6">
      <c r="A1048475" s="62"/>
      <c r="B1048475" s="62"/>
      <c r="C1048475" s="62"/>
      <c r="D1048475" s="62"/>
      <c r="E1048475" s="62"/>
      <c r="F1048475" s="62"/>
    </row>
    <row r="1048476" spans="1:6">
      <c r="A1048476" s="62"/>
      <c r="B1048476" s="62"/>
      <c r="C1048476" s="62"/>
      <c r="D1048476" s="62"/>
      <c r="E1048476" s="62"/>
      <c r="F1048476" s="62"/>
    </row>
    <row r="1048477" spans="1:6">
      <c r="A1048477" s="62"/>
      <c r="B1048477" s="62"/>
      <c r="C1048477" s="62"/>
      <c r="D1048477" s="62"/>
      <c r="E1048477" s="62"/>
      <c r="F1048477" s="62"/>
    </row>
    <row r="1048478" spans="1:6">
      <c r="A1048478" s="62"/>
      <c r="B1048478" s="62"/>
      <c r="C1048478" s="62"/>
      <c r="D1048478" s="62"/>
      <c r="E1048478" s="62"/>
      <c r="F1048478" s="62"/>
    </row>
    <row r="1048479" spans="1:6">
      <c r="A1048479" s="62"/>
      <c r="B1048479" s="62"/>
      <c r="C1048479" s="62"/>
      <c r="D1048479" s="62"/>
      <c r="E1048479" s="62"/>
      <c r="F1048479" s="62"/>
    </row>
    <row r="1048480" spans="1:6">
      <c r="A1048480" s="62"/>
      <c r="B1048480" s="62"/>
      <c r="C1048480" s="62"/>
      <c r="D1048480" s="62"/>
      <c r="E1048480" s="62"/>
      <c r="F1048480" s="62"/>
    </row>
    <row r="1048481" spans="1:6">
      <c r="A1048481" s="62"/>
      <c r="B1048481" s="62"/>
      <c r="C1048481" s="62"/>
      <c r="D1048481" s="62"/>
      <c r="E1048481" s="62"/>
      <c r="F1048481" s="62"/>
    </row>
    <row r="1048482" spans="1:6">
      <c r="A1048482" s="62"/>
      <c r="B1048482" s="62"/>
      <c r="C1048482" s="62"/>
      <c r="D1048482" s="62"/>
      <c r="E1048482" s="62"/>
      <c r="F1048482" s="62"/>
    </row>
    <row r="1048483" spans="1:6">
      <c r="A1048483" s="62"/>
      <c r="B1048483" s="62"/>
      <c r="C1048483" s="62"/>
      <c r="D1048483" s="62"/>
      <c r="E1048483" s="62"/>
      <c r="F1048483" s="62"/>
    </row>
    <row r="1048484" spans="1:6">
      <c r="A1048484" s="62"/>
      <c r="B1048484" s="62"/>
      <c r="C1048484" s="62"/>
      <c r="D1048484" s="62"/>
      <c r="E1048484" s="62"/>
      <c r="F1048484" s="62"/>
    </row>
    <row r="1048485" spans="1:6">
      <c r="A1048485" s="62"/>
      <c r="B1048485" s="62"/>
      <c r="C1048485" s="62"/>
      <c r="D1048485" s="62"/>
      <c r="E1048485" s="62"/>
      <c r="F1048485" s="62"/>
    </row>
    <row r="1048486" spans="1:6">
      <c r="A1048486" s="62"/>
      <c r="B1048486" s="62"/>
      <c r="C1048486" s="62"/>
      <c r="D1048486" s="62"/>
      <c r="E1048486" s="62"/>
      <c r="F1048486" s="62"/>
    </row>
    <row r="1048487" spans="1:6">
      <c r="A1048487" s="62"/>
      <c r="B1048487" s="62"/>
      <c r="C1048487" s="62"/>
      <c r="D1048487" s="62"/>
      <c r="E1048487" s="62"/>
      <c r="F1048487" s="62"/>
    </row>
    <row r="1048488" spans="1:6">
      <c r="A1048488" s="62"/>
      <c r="B1048488" s="62"/>
      <c r="C1048488" s="62"/>
      <c r="D1048488" s="62"/>
      <c r="E1048488" s="62"/>
      <c r="F1048488" s="62"/>
    </row>
    <row r="1048489" spans="1:6">
      <c r="A1048489" s="62"/>
      <c r="B1048489" s="62"/>
      <c r="C1048489" s="62"/>
      <c r="D1048489" s="62"/>
      <c r="E1048489" s="62"/>
      <c r="F1048489" s="62"/>
    </row>
    <row r="1048490" spans="1:6">
      <c r="A1048490" s="62"/>
      <c r="B1048490" s="62"/>
      <c r="C1048490" s="62"/>
      <c r="D1048490" s="62"/>
      <c r="E1048490" s="62"/>
      <c r="F1048490" s="62"/>
    </row>
    <row r="1048491" spans="1:6">
      <c r="A1048491" s="62"/>
      <c r="B1048491" s="62"/>
      <c r="C1048491" s="62"/>
      <c r="D1048491" s="62"/>
      <c r="E1048491" s="62"/>
      <c r="F1048491" s="62"/>
    </row>
    <row r="1048492" spans="1:6">
      <c r="A1048492" s="62"/>
      <c r="B1048492" s="62"/>
      <c r="C1048492" s="62"/>
      <c r="D1048492" s="62"/>
      <c r="E1048492" s="62"/>
      <c r="F1048492" s="62"/>
    </row>
    <row r="1048493" spans="1:6">
      <c r="A1048493" s="62"/>
      <c r="B1048493" s="62"/>
      <c r="C1048493" s="62"/>
      <c r="D1048493" s="62"/>
      <c r="E1048493" s="62"/>
      <c r="F1048493" s="62"/>
    </row>
    <row r="1048494" spans="1:6">
      <c r="A1048494" s="62"/>
      <c r="B1048494" s="62"/>
      <c r="C1048494" s="62"/>
      <c r="D1048494" s="62"/>
      <c r="E1048494" s="62"/>
      <c r="F1048494" s="62"/>
    </row>
    <row r="1048495" spans="1:6">
      <c r="A1048495" s="62"/>
      <c r="B1048495" s="62"/>
      <c r="C1048495" s="62"/>
      <c r="D1048495" s="62"/>
      <c r="E1048495" s="62"/>
      <c r="F1048495" s="62"/>
    </row>
    <row r="1048496" spans="1:6">
      <c r="A1048496" s="62"/>
      <c r="B1048496" s="62"/>
      <c r="C1048496" s="62"/>
      <c r="D1048496" s="62"/>
      <c r="E1048496" s="62"/>
      <c r="F1048496" s="62"/>
    </row>
    <row r="1048497" spans="1:6">
      <c r="A1048497" s="62"/>
      <c r="B1048497" s="62"/>
      <c r="C1048497" s="62"/>
      <c r="D1048497" s="62"/>
      <c r="E1048497" s="62"/>
      <c r="F1048497" s="62"/>
    </row>
    <row r="1048498" spans="1:6">
      <c r="A1048498" s="62"/>
      <c r="B1048498" s="62"/>
      <c r="C1048498" s="62"/>
      <c r="D1048498" s="62"/>
      <c r="E1048498" s="62"/>
      <c r="F1048498" s="62"/>
    </row>
    <row r="1048499" spans="1:6">
      <c r="A1048499" s="62"/>
      <c r="B1048499" s="62"/>
      <c r="C1048499" s="62"/>
      <c r="D1048499" s="62"/>
      <c r="E1048499" s="62"/>
      <c r="F1048499" s="62"/>
    </row>
    <row r="1048500" spans="1:6">
      <c r="A1048500" s="62"/>
      <c r="B1048500" s="62"/>
      <c r="C1048500" s="62"/>
      <c r="D1048500" s="62"/>
      <c r="E1048500" s="62"/>
      <c r="F1048500" s="62"/>
    </row>
    <row r="1048501" spans="1:6">
      <c r="A1048501" s="62"/>
      <c r="B1048501" s="62"/>
      <c r="C1048501" s="62"/>
      <c r="D1048501" s="62"/>
      <c r="E1048501" s="62"/>
      <c r="F1048501" s="62"/>
    </row>
    <row r="1048502" spans="1:6">
      <c r="A1048502" s="62"/>
      <c r="B1048502" s="62"/>
      <c r="C1048502" s="62"/>
      <c r="D1048502" s="62"/>
      <c r="E1048502" s="62"/>
      <c r="F1048502" s="62"/>
    </row>
    <row r="1048503" spans="1:6">
      <c r="A1048503" s="62"/>
      <c r="B1048503" s="62"/>
      <c r="C1048503" s="62"/>
      <c r="D1048503" s="62"/>
      <c r="E1048503" s="62"/>
      <c r="F1048503" s="62"/>
    </row>
    <row r="1048504" spans="1:6">
      <c r="A1048504" s="62"/>
      <c r="B1048504" s="62"/>
      <c r="C1048504" s="62"/>
      <c r="D1048504" s="62"/>
      <c r="E1048504" s="62"/>
      <c r="F1048504" s="62"/>
    </row>
    <row r="1048505" spans="1:6">
      <c r="A1048505" s="62"/>
      <c r="B1048505" s="62"/>
      <c r="C1048505" s="62"/>
      <c r="D1048505" s="62"/>
      <c r="E1048505" s="62"/>
      <c r="F1048505" s="62"/>
    </row>
    <row r="1048506" spans="1:6">
      <c r="A1048506" s="62"/>
      <c r="B1048506" s="62"/>
      <c r="C1048506" s="62"/>
      <c r="D1048506" s="62"/>
      <c r="E1048506" s="62"/>
      <c r="F1048506" s="62"/>
    </row>
    <row r="1048507" spans="1:6">
      <c r="A1048507" s="62"/>
      <c r="B1048507" s="62"/>
      <c r="C1048507" s="62"/>
      <c r="D1048507" s="62"/>
      <c r="E1048507" s="62"/>
      <c r="F1048507" s="62"/>
    </row>
    <row r="1048508" spans="1:6">
      <c r="A1048508" s="62"/>
      <c r="B1048508" s="62"/>
      <c r="C1048508" s="62"/>
      <c r="D1048508" s="62"/>
      <c r="E1048508" s="62"/>
      <c r="F1048508" s="62"/>
    </row>
    <row r="1048509" spans="1:6">
      <c r="A1048509" s="62"/>
      <c r="B1048509" s="62"/>
      <c r="C1048509" s="62"/>
      <c r="D1048509" s="62"/>
      <c r="E1048509" s="62"/>
      <c r="F1048509" s="62"/>
    </row>
    <row r="1048510" spans="1:6">
      <c r="A1048510" s="62"/>
      <c r="B1048510" s="62"/>
      <c r="C1048510" s="62"/>
      <c r="D1048510" s="62"/>
      <c r="E1048510" s="62"/>
      <c r="F1048510" s="62"/>
    </row>
    <row r="1048511" spans="1:6">
      <c r="A1048511" s="62"/>
      <c r="B1048511" s="62"/>
      <c r="C1048511" s="62"/>
      <c r="D1048511" s="62"/>
      <c r="E1048511" s="62"/>
      <c r="F1048511" s="62"/>
    </row>
    <row r="1048512" spans="1:6">
      <c r="A1048512" s="62"/>
      <c r="B1048512" s="62"/>
      <c r="C1048512" s="62"/>
      <c r="D1048512" s="62"/>
      <c r="E1048512" s="62"/>
      <c r="F1048512" s="62"/>
    </row>
    <row r="1048513" spans="1:6">
      <c r="A1048513" s="62"/>
      <c r="B1048513" s="62"/>
      <c r="C1048513" s="62"/>
      <c r="D1048513" s="62"/>
      <c r="E1048513" s="62"/>
      <c r="F1048513" s="62"/>
    </row>
    <row r="1048514" spans="1:6">
      <c r="A1048514" s="62"/>
      <c r="B1048514" s="62"/>
      <c r="C1048514" s="62"/>
      <c r="D1048514" s="62"/>
      <c r="E1048514" s="62"/>
      <c r="F1048514" s="62"/>
    </row>
    <row r="1048515" spans="1:6">
      <c r="A1048515" s="62"/>
      <c r="B1048515" s="62"/>
      <c r="C1048515" s="62"/>
      <c r="D1048515" s="62"/>
      <c r="E1048515" s="62"/>
      <c r="F1048515" s="62"/>
    </row>
    <row r="1048516" spans="1:6">
      <c r="A1048516" s="62"/>
      <c r="B1048516" s="62"/>
      <c r="C1048516" s="62"/>
      <c r="D1048516" s="62"/>
      <c r="E1048516" s="62"/>
      <c r="F1048516" s="62"/>
    </row>
    <row r="1048517" spans="1:6">
      <c r="A1048517" s="62"/>
      <c r="B1048517" s="62"/>
      <c r="C1048517" s="62"/>
      <c r="D1048517" s="62"/>
      <c r="E1048517" s="62"/>
      <c r="F1048517" s="62"/>
    </row>
    <row r="1048518" spans="1:6">
      <c r="A1048518" s="62"/>
      <c r="B1048518" s="62"/>
      <c r="C1048518" s="62"/>
      <c r="D1048518" s="62"/>
      <c r="E1048518" s="62"/>
      <c r="F1048518" s="62"/>
    </row>
    <row r="1048519" spans="1:6">
      <c r="A1048519" s="62"/>
      <c r="B1048519" s="62"/>
      <c r="C1048519" s="62"/>
      <c r="D1048519" s="62"/>
      <c r="E1048519" s="62"/>
      <c r="F1048519" s="62"/>
    </row>
    <row r="1048520" spans="1:6">
      <c r="A1048520" s="62"/>
      <c r="B1048520" s="62"/>
      <c r="C1048520" s="62"/>
      <c r="D1048520" s="62"/>
      <c r="E1048520" s="62"/>
      <c r="F1048520" s="62"/>
    </row>
    <row r="1048521" spans="1:6">
      <c r="A1048521" s="62"/>
      <c r="B1048521" s="62"/>
      <c r="C1048521" s="62"/>
      <c r="D1048521" s="62"/>
      <c r="E1048521" s="62"/>
      <c r="F1048521" s="62"/>
    </row>
    <row r="1048522" spans="1:6">
      <c r="A1048522" s="62"/>
      <c r="B1048522" s="62"/>
      <c r="C1048522" s="62"/>
      <c r="D1048522" s="62"/>
      <c r="E1048522" s="62"/>
      <c r="F1048522" s="62"/>
    </row>
    <row r="1048523" spans="1:6">
      <c r="A1048523" s="62"/>
      <c r="B1048523" s="62"/>
      <c r="C1048523" s="62"/>
      <c r="D1048523" s="62"/>
      <c r="E1048523" s="62"/>
      <c r="F1048523" s="62"/>
    </row>
    <row r="1048524" spans="1:6">
      <c r="A1048524" s="62"/>
      <c r="B1048524" s="62"/>
      <c r="C1048524" s="62"/>
      <c r="D1048524" s="62"/>
      <c r="E1048524" s="62"/>
      <c r="F1048524" s="62"/>
    </row>
    <row r="1048525" spans="1:6">
      <c r="A1048525" s="62"/>
      <c r="B1048525" s="62"/>
      <c r="C1048525" s="62"/>
      <c r="D1048525" s="62"/>
      <c r="E1048525" s="62"/>
      <c r="F1048525" s="62"/>
    </row>
    <row r="1048526" spans="1:6">
      <c r="A1048526" s="62"/>
      <c r="B1048526" s="62"/>
      <c r="C1048526" s="62"/>
      <c r="D1048526" s="62"/>
      <c r="E1048526" s="62"/>
      <c r="F1048526" s="62"/>
    </row>
    <row r="1048527" spans="1:6">
      <c r="A1048527" s="62"/>
      <c r="B1048527" s="62"/>
      <c r="C1048527" s="62"/>
      <c r="D1048527" s="62"/>
      <c r="E1048527" s="62"/>
      <c r="F1048527" s="62"/>
    </row>
    <row r="1048528" spans="1:6">
      <c r="A1048528" s="62"/>
      <c r="B1048528" s="62"/>
      <c r="C1048528" s="62"/>
      <c r="D1048528" s="62"/>
      <c r="E1048528" s="62"/>
      <c r="F1048528" s="62"/>
    </row>
    <row r="1048529" spans="1:6">
      <c r="A1048529" s="62"/>
      <c r="B1048529" s="62"/>
      <c r="C1048529" s="62"/>
      <c r="D1048529" s="62"/>
      <c r="E1048529" s="62"/>
      <c r="F1048529" s="62"/>
    </row>
    <row r="1048530" spans="1:6">
      <c r="A1048530" s="62"/>
      <c r="B1048530" s="62"/>
      <c r="C1048530" s="62"/>
      <c r="D1048530" s="62"/>
      <c r="E1048530" s="62"/>
      <c r="F1048530" s="62"/>
    </row>
    <row r="1048531" spans="1:6">
      <c r="A1048531" s="62"/>
      <c r="B1048531" s="62"/>
      <c r="C1048531" s="62"/>
      <c r="D1048531" s="62"/>
      <c r="E1048531" s="62"/>
      <c r="F1048531" s="62"/>
    </row>
    <row r="1048532" spans="1:6">
      <c r="A1048532" s="62"/>
      <c r="B1048532" s="62"/>
      <c r="C1048532" s="62"/>
      <c r="D1048532" s="62"/>
      <c r="E1048532" s="62"/>
      <c r="F1048532" s="62"/>
    </row>
    <row r="1048533" spans="1:6">
      <c r="A1048533" s="62"/>
      <c r="B1048533" s="62"/>
      <c r="C1048533" s="62"/>
      <c r="D1048533" s="62"/>
      <c r="E1048533" s="62"/>
      <c r="F1048533" s="62"/>
    </row>
    <row r="1048534" spans="1:6">
      <c r="A1048534" s="62"/>
      <c r="B1048534" s="62"/>
      <c r="C1048534" s="62"/>
      <c r="D1048534" s="62"/>
      <c r="E1048534" s="62"/>
      <c r="F1048534" s="62"/>
    </row>
    <row r="1048535" spans="1:6">
      <c r="A1048535" s="62"/>
      <c r="B1048535" s="62"/>
      <c r="C1048535" s="62"/>
      <c r="D1048535" s="62"/>
      <c r="E1048535" s="62"/>
      <c r="F1048535" s="62"/>
    </row>
    <row r="1048536" spans="1:6">
      <c r="A1048536" s="62"/>
      <c r="B1048536" s="62"/>
      <c r="C1048536" s="62"/>
      <c r="D1048536" s="62"/>
      <c r="E1048536" s="62"/>
      <c r="F1048536" s="62"/>
    </row>
    <row r="1048537" spans="1:6">
      <c r="A1048537" s="62"/>
      <c r="B1048537" s="62"/>
      <c r="C1048537" s="62"/>
      <c r="D1048537" s="62"/>
      <c r="E1048537" s="62"/>
      <c r="F1048537" s="62"/>
    </row>
    <row r="1048538" spans="1:6">
      <c r="A1048538" s="62"/>
      <c r="B1048538" s="62"/>
      <c r="C1048538" s="62"/>
      <c r="D1048538" s="62"/>
      <c r="E1048538" s="62"/>
      <c r="F1048538" s="62"/>
    </row>
    <row r="1048539" spans="1:6">
      <c r="A1048539" s="62"/>
      <c r="B1048539" s="62"/>
      <c r="C1048539" s="62"/>
      <c r="D1048539" s="62"/>
      <c r="E1048539" s="62"/>
      <c r="F1048539" s="62"/>
    </row>
    <row r="1048540" spans="1:6">
      <c r="A1048540" s="62"/>
      <c r="B1048540" s="62"/>
      <c r="C1048540" s="62"/>
      <c r="D1048540" s="62"/>
      <c r="E1048540" s="62"/>
      <c r="F1048540" s="62"/>
    </row>
    <row r="1048541" spans="1:6">
      <c r="A1048541" s="62"/>
      <c r="B1048541" s="62"/>
      <c r="C1048541" s="62"/>
      <c r="D1048541" s="62"/>
      <c r="E1048541" s="62"/>
      <c r="F1048541" s="62"/>
    </row>
    <row r="1048542" spans="1:6">
      <c r="A1048542" s="62"/>
      <c r="B1048542" s="62"/>
      <c r="C1048542" s="62"/>
      <c r="D1048542" s="62"/>
      <c r="E1048542" s="62"/>
      <c r="F1048542" s="62"/>
    </row>
    <row r="1048543" spans="1:6">
      <c r="A1048543" s="62"/>
      <c r="B1048543" s="62"/>
      <c r="C1048543" s="62"/>
      <c r="D1048543" s="62"/>
      <c r="E1048543" s="62"/>
      <c r="F1048543" s="62"/>
    </row>
    <row r="1048544" spans="1:6">
      <c r="A1048544" s="62"/>
      <c r="B1048544" s="62"/>
      <c r="C1048544" s="62"/>
      <c r="D1048544" s="62"/>
      <c r="E1048544" s="62"/>
      <c r="F1048544" s="62"/>
    </row>
    <row r="1048545" spans="1:6">
      <c r="A1048545" s="62"/>
      <c r="B1048545" s="62"/>
      <c r="C1048545" s="62"/>
      <c r="D1048545" s="62"/>
      <c r="E1048545" s="62"/>
      <c r="F1048545" s="62"/>
    </row>
    <row r="1048546" spans="1:6">
      <c r="A1048546" s="62"/>
      <c r="B1048546" s="62"/>
      <c r="C1048546" s="62"/>
      <c r="D1048546" s="62"/>
      <c r="E1048546" s="62"/>
      <c r="F1048546" s="62"/>
    </row>
    <row r="1048547" spans="1:6">
      <c r="A1048547" s="62"/>
      <c r="B1048547" s="62"/>
      <c r="C1048547" s="62"/>
      <c r="D1048547" s="62"/>
      <c r="E1048547" s="62"/>
      <c r="F1048547" s="62"/>
    </row>
    <row r="1048548" spans="1:6">
      <c r="A1048548" s="62"/>
      <c r="B1048548" s="62"/>
      <c r="C1048548" s="62"/>
      <c r="D1048548" s="62"/>
      <c r="E1048548" s="62"/>
      <c r="F1048548" s="62"/>
    </row>
    <row r="1048549" spans="1:6">
      <c r="A1048549" s="62"/>
      <c r="B1048549" s="62"/>
      <c r="C1048549" s="62"/>
      <c r="D1048549" s="62"/>
      <c r="E1048549" s="62"/>
      <c r="F1048549" s="62"/>
    </row>
    <row r="1048550" spans="1:6">
      <c r="A1048550" s="62"/>
      <c r="B1048550" s="62"/>
      <c r="C1048550" s="62"/>
      <c r="D1048550" s="62"/>
      <c r="E1048550" s="62"/>
      <c r="F1048550" s="62"/>
    </row>
    <row r="1048551" spans="1:6">
      <c r="A1048551" s="62"/>
      <c r="B1048551" s="62"/>
      <c r="C1048551" s="62"/>
      <c r="D1048551" s="62"/>
      <c r="E1048551" s="62"/>
      <c r="F1048551" s="62"/>
    </row>
    <row r="1048552" spans="1:6">
      <c r="A1048552" s="62"/>
      <c r="B1048552" s="62"/>
      <c r="C1048552" s="62"/>
      <c r="D1048552" s="62"/>
      <c r="E1048552" s="62"/>
      <c r="F1048552" s="62"/>
    </row>
    <row r="1048553" spans="1:6">
      <c r="A1048553" s="62"/>
      <c r="B1048553" s="62"/>
      <c r="C1048553" s="62"/>
      <c r="D1048553" s="62"/>
      <c r="E1048553" s="62"/>
      <c r="F1048553" s="62"/>
    </row>
    <row r="1048554" spans="1:6">
      <c r="A1048554" s="62"/>
      <c r="B1048554" s="62"/>
      <c r="C1048554" s="62"/>
      <c r="D1048554" s="62"/>
      <c r="E1048554" s="62"/>
      <c r="F1048554" s="62"/>
    </row>
    <row r="1048555" spans="1:6">
      <c r="A1048555" s="62"/>
      <c r="B1048555" s="62"/>
      <c r="C1048555" s="62"/>
      <c r="D1048555" s="62"/>
      <c r="E1048555" s="62"/>
      <c r="F1048555" s="62"/>
    </row>
    <row r="1048556" spans="1:6">
      <c r="A1048556" s="62"/>
      <c r="B1048556" s="62"/>
      <c r="C1048556" s="62"/>
      <c r="D1048556" s="62"/>
      <c r="E1048556" s="62"/>
      <c r="F1048556" s="62"/>
    </row>
    <row r="1048557" spans="1:6">
      <c r="A1048557" s="62"/>
      <c r="B1048557" s="62"/>
      <c r="C1048557" s="62"/>
      <c r="D1048557" s="62"/>
      <c r="E1048557" s="62"/>
      <c r="F1048557" s="62"/>
    </row>
    <row r="1048558" spans="1:6">
      <c r="A1048558" s="62"/>
      <c r="B1048558" s="62"/>
      <c r="C1048558" s="62"/>
      <c r="D1048558" s="62"/>
      <c r="E1048558" s="62"/>
      <c r="F1048558" s="62"/>
    </row>
    <row r="1048559" spans="1:6">
      <c r="A1048559" s="62"/>
      <c r="B1048559" s="62"/>
      <c r="C1048559" s="62"/>
      <c r="D1048559" s="62"/>
      <c r="E1048559" s="62"/>
      <c r="F1048559" s="62"/>
    </row>
    <row r="1048560" spans="1:6">
      <c r="A1048560" s="62"/>
      <c r="B1048560" s="62"/>
      <c r="C1048560" s="62"/>
      <c r="D1048560" s="62"/>
      <c r="E1048560" s="62"/>
      <c r="F1048560" s="62"/>
    </row>
    <row r="1048561" spans="1:6">
      <c r="A1048561" s="62"/>
      <c r="B1048561" s="62"/>
      <c r="C1048561" s="62"/>
      <c r="D1048561" s="62"/>
      <c r="E1048561" s="62"/>
      <c r="F1048561" s="62"/>
    </row>
    <row r="1048562" spans="1:6">
      <c r="A1048562" s="62"/>
      <c r="B1048562" s="62"/>
      <c r="C1048562" s="62"/>
      <c r="D1048562" s="62"/>
      <c r="E1048562" s="62"/>
      <c r="F1048562" s="62"/>
    </row>
    <row r="1048563" spans="1:6">
      <c r="A1048563" s="62"/>
      <c r="B1048563" s="62"/>
      <c r="C1048563" s="62"/>
      <c r="D1048563" s="62"/>
      <c r="E1048563" s="62"/>
      <c r="F1048563" s="62"/>
    </row>
    <row r="1048564" spans="1:6">
      <c r="A1048564" s="62"/>
      <c r="B1048564" s="62"/>
      <c r="C1048564" s="62"/>
      <c r="D1048564" s="62"/>
      <c r="E1048564" s="62"/>
      <c r="F1048564" s="62"/>
    </row>
    <row r="1048565" spans="1:6">
      <c r="A1048565" s="62"/>
      <c r="B1048565" s="62"/>
      <c r="C1048565" s="62"/>
      <c r="D1048565" s="62"/>
      <c r="E1048565" s="62"/>
      <c r="F1048565" s="62"/>
    </row>
    <row r="1048566" spans="1:6">
      <c r="A1048566" s="62"/>
      <c r="B1048566" s="62"/>
      <c r="C1048566" s="62"/>
      <c r="D1048566" s="62"/>
      <c r="E1048566" s="62"/>
      <c r="F1048566" s="62"/>
    </row>
    <row r="1048567" spans="1:6">
      <c r="A1048567" s="62"/>
      <c r="B1048567" s="62"/>
      <c r="C1048567" s="62"/>
      <c r="D1048567" s="62"/>
      <c r="E1048567" s="62"/>
      <c r="F1048567" s="62"/>
    </row>
    <row r="1048568" spans="1:6">
      <c r="A1048568" s="62"/>
      <c r="B1048568" s="62"/>
      <c r="C1048568" s="62"/>
      <c r="D1048568" s="62"/>
      <c r="E1048568" s="62"/>
      <c r="F1048568" s="62"/>
    </row>
    <row r="1048569" spans="1:6">
      <c r="A1048569" s="62"/>
      <c r="B1048569" s="62"/>
      <c r="C1048569" s="62"/>
      <c r="D1048569" s="62"/>
      <c r="E1048569" s="62"/>
      <c r="F1048569" s="62"/>
    </row>
    <row r="1048570" spans="1:6">
      <c r="A1048570" s="62"/>
      <c r="B1048570" s="62"/>
      <c r="C1048570" s="62"/>
      <c r="D1048570" s="62"/>
      <c r="E1048570" s="62"/>
      <c r="F1048570" s="62"/>
    </row>
    <row r="1048571" spans="1:6">
      <c r="A1048571" s="62"/>
      <c r="B1048571" s="62"/>
      <c r="C1048571" s="62"/>
      <c r="D1048571" s="62"/>
      <c r="E1048571" s="62"/>
      <c r="F1048571" s="62"/>
    </row>
    <row r="1048572" spans="1:6">
      <c r="A1048572" s="62"/>
      <c r="B1048572" s="62"/>
      <c r="C1048572" s="62"/>
      <c r="D1048572" s="62"/>
      <c r="E1048572" s="62"/>
      <c r="F1048572" s="62"/>
    </row>
    <row r="1048573" spans="1:6">
      <c r="A1048573" s="62"/>
      <c r="B1048573" s="62"/>
      <c r="C1048573" s="62"/>
      <c r="D1048573" s="62"/>
      <c r="E1048573" s="62"/>
      <c r="F1048573" s="62"/>
    </row>
    <row r="1048574" spans="1:6">
      <c r="A1048574" s="62"/>
      <c r="B1048574" s="62"/>
      <c r="C1048574" s="62"/>
      <c r="D1048574" s="62"/>
      <c r="E1048574" s="62"/>
      <c r="F1048574" s="62"/>
    </row>
    <row r="1048575" spans="1:6">
      <c r="A1048575" s="62"/>
      <c r="B1048575" s="62"/>
      <c r="C1048575" s="62"/>
      <c r="D1048575" s="62"/>
      <c r="E1048575" s="62"/>
      <c r="F1048575" s="62"/>
    </row>
    <row r="1048576" spans="1:6">
      <c r="A1048576" s="62"/>
      <c r="B1048576" s="62"/>
      <c r="C1048576" s="62"/>
      <c r="D1048576" s="62"/>
      <c r="E1048576" s="62"/>
      <c r="F1048576" s="62"/>
    </row>
  </sheetData>
  <mergeCells count="8">
    <mergeCell ref="A2:F2"/>
    <mergeCell ref="A22:C22"/>
    <mergeCell ref="A4:A6"/>
    <mergeCell ref="B4:B6"/>
    <mergeCell ref="C4:C6"/>
    <mergeCell ref="D4:D6"/>
    <mergeCell ref="E4:E6"/>
    <mergeCell ref="F4:F6"/>
  </mergeCells>
  <pageMargins left="0.75" right="0.75" top="1" bottom="1" header="0.511805555555556" footer="0.511805555555556"/>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C23" sqref="C23"/>
    </sheetView>
  </sheetViews>
  <sheetFormatPr defaultColWidth="8.88888888888889" defaultRowHeight="14.4" outlineLevelCol="4"/>
  <cols>
    <col min="1" max="1" width="10.9722222222222" customWidth="1"/>
    <col min="2" max="2" width="27.6388888888889" customWidth="1"/>
    <col min="3" max="3" width="25" customWidth="1"/>
    <col min="4" max="4" width="12.6388888888889" customWidth="1"/>
    <col min="5" max="5" width="10.5555555555556" customWidth="1"/>
  </cols>
  <sheetData>
    <row r="1" spans="1:1">
      <c r="A1" s="3" t="s">
        <v>989</v>
      </c>
    </row>
    <row r="2" ht="22.2" spans="1:5">
      <c r="A2" s="45" t="s">
        <v>990</v>
      </c>
      <c r="B2" s="45"/>
      <c r="C2" s="45"/>
      <c r="D2" s="45"/>
      <c r="E2" s="45"/>
    </row>
    <row r="3" spans="1:5">
      <c r="A3" s="46"/>
      <c r="B3" s="47"/>
      <c r="C3" s="47"/>
      <c r="D3" s="47"/>
      <c r="E3" s="48" t="s">
        <v>2</v>
      </c>
    </row>
    <row r="4" spans="1:5">
      <c r="A4" s="49" t="s">
        <v>991</v>
      </c>
      <c r="B4" s="49" t="s">
        <v>114</v>
      </c>
      <c r="C4" s="49" t="s">
        <v>992</v>
      </c>
      <c r="D4" s="49" t="s">
        <v>590</v>
      </c>
      <c r="E4" s="50"/>
    </row>
    <row r="5" spans="1:5">
      <c r="A5" s="49"/>
      <c r="B5" s="49"/>
      <c r="C5" s="49"/>
      <c r="D5" s="49"/>
      <c r="E5" s="50"/>
    </row>
    <row r="6" spans="1:5">
      <c r="A6" s="49"/>
      <c r="B6" s="49"/>
      <c r="C6" s="49"/>
      <c r="D6" s="49"/>
      <c r="E6" s="50"/>
    </row>
    <row r="7" spans="1:5">
      <c r="A7" s="51" t="s">
        <v>993</v>
      </c>
      <c r="B7" s="51" t="s">
        <v>993</v>
      </c>
      <c r="C7" s="51" t="s">
        <v>993</v>
      </c>
      <c r="D7" s="52">
        <v>1</v>
      </c>
      <c r="E7" s="53">
        <v>13</v>
      </c>
    </row>
    <row r="8" spans="1:5">
      <c r="A8" s="54" t="s">
        <v>994</v>
      </c>
      <c r="B8" s="54" t="s">
        <v>590</v>
      </c>
      <c r="C8" s="55" t="s">
        <v>994</v>
      </c>
      <c r="D8" s="56"/>
      <c r="E8" s="57"/>
    </row>
    <row r="9" spans="1:5">
      <c r="A9" s="58" t="s">
        <v>995</v>
      </c>
      <c r="B9" s="58"/>
      <c r="C9" s="58"/>
      <c r="D9" s="58"/>
      <c r="E9" s="58"/>
    </row>
  </sheetData>
  <mergeCells count="7">
    <mergeCell ref="A2:E2"/>
    <mergeCell ref="A9:E9"/>
    <mergeCell ref="A4:A6"/>
    <mergeCell ref="B4:B6"/>
    <mergeCell ref="C4:C6"/>
    <mergeCell ref="D4:D6"/>
    <mergeCell ref="E4:E6"/>
  </mergeCells>
  <pageMargins left="0.75" right="0.75" top="1" bottom="1" header="0.511805555555556" footer="0.511805555555556"/>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
  <sheetViews>
    <sheetView workbookViewId="0">
      <selection activeCell="A1" sqref="A1"/>
    </sheetView>
  </sheetViews>
  <sheetFormatPr defaultColWidth="9.77777777777778" defaultRowHeight="15.6" outlineLevelRow="4"/>
  <cols>
    <col min="1" max="1" width="30.6944444444444" style="40" customWidth="1"/>
    <col min="2" max="3" width="48.4722222222222" style="40" customWidth="1"/>
    <col min="4" max="32" width="10" style="40"/>
    <col min="33" max="256" width="9.77777777777778" style="40"/>
    <col min="257" max="16384" width="9.77777777777778" style="39"/>
  </cols>
  <sheetData>
    <row r="1" spans="1:1">
      <c r="A1" s="3" t="s">
        <v>996</v>
      </c>
    </row>
    <row r="2" s="18" customFormat="1" ht="34" customHeight="1" spans="1:16384">
      <c r="A2" s="21" t="s">
        <v>997</v>
      </c>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c r="XEZ2" s="21"/>
      <c r="XFA2" s="21"/>
      <c r="XFB2" s="21"/>
      <c r="XFC2" s="21"/>
      <c r="XFD2" s="21"/>
    </row>
    <row r="3" ht="24" customHeight="1" spans="3:3">
      <c r="C3" s="41" t="s">
        <v>2</v>
      </c>
    </row>
    <row r="4" ht="30" customHeight="1" spans="1:3">
      <c r="A4" s="42" t="s">
        <v>998</v>
      </c>
      <c r="B4" s="42" t="s">
        <v>999</v>
      </c>
      <c r="C4" s="42" t="s">
        <v>1000</v>
      </c>
    </row>
    <row r="5" ht="30" customHeight="1" spans="1:3">
      <c r="A5" s="43" t="s">
        <v>1001</v>
      </c>
      <c r="B5" s="44">
        <v>52925</v>
      </c>
      <c r="C5" s="44">
        <v>52922</v>
      </c>
    </row>
  </sheetData>
  <mergeCells count="2341">
    <mergeCell ref="A2:G2"/>
    <mergeCell ref="H2:N2"/>
    <mergeCell ref="O2:U2"/>
    <mergeCell ref="V2:AB2"/>
    <mergeCell ref="AC2:AI2"/>
    <mergeCell ref="AJ2:AP2"/>
    <mergeCell ref="AQ2:AW2"/>
    <mergeCell ref="AX2:BD2"/>
    <mergeCell ref="BE2:BK2"/>
    <mergeCell ref="BL2:BR2"/>
    <mergeCell ref="BS2:BY2"/>
    <mergeCell ref="BZ2:CF2"/>
    <mergeCell ref="CG2:CM2"/>
    <mergeCell ref="CN2:CT2"/>
    <mergeCell ref="CU2:DA2"/>
    <mergeCell ref="DB2:DH2"/>
    <mergeCell ref="DI2:DO2"/>
    <mergeCell ref="DP2:DV2"/>
    <mergeCell ref="DW2:EC2"/>
    <mergeCell ref="ED2:EJ2"/>
    <mergeCell ref="EK2:EQ2"/>
    <mergeCell ref="ER2:EX2"/>
    <mergeCell ref="EY2:FE2"/>
    <mergeCell ref="FF2:FL2"/>
    <mergeCell ref="FM2:FS2"/>
    <mergeCell ref="FT2:FZ2"/>
    <mergeCell ref="GA2:GG2"/>
    <mergeCell ref="GH2:GN2"/>
    <mergeCell ref="GO2:GU2"/>
    <mergeCell ref="GV2:HB2"/>
    <mergeCell ref="HC2:HI2"/>
    <mergeCell ref="HJ2:HP2"/>
    <mergeCell ref="HQ2:HW2"/>
    <mergeCell ref="HX2:ID2"/>
    <mergeCell ref="IE2:IK2"/>
    <mergeCell ref="IL2:IR2"/>
    <mergeCell ref="IS2:IY2"/>
    <mergeCell ref="IZ2:JF2"/>
    <mergeCell ref="JG2:JM2"/>
    <mergeCell ref="JN2:JT2"/>
    <mergeCell ref="JU2:KA2"/>
    <mergeCell ref="KB2:KH2"/>
    <mergeCell ref="KI2:KO2"/>
    <mergeCell ref="KP2:KV2"/>
    <mergeCell ref="KW2:LC2"/>
    <mergeCell ref="LD2:LJ2"/>
    <mergeCell ref="LK2:LQ2"/>
    <mergeCell ref="LR2:LX2"/>
    <mergeCell ref="LY2:ME2"/>
    <mergeCell ref="MF2:ML2"/>
    <mergeCell ref="MM2:MS2"/>
    <mergeCell ref="MT2:MZ2"/>
    <mergeCell ref="NA2:NG2"/>
    <mergeCell ref="NH2:NN2"/>
    <mergeCell ref="NO2:NU2"/>
    <mergeCell ref="NV2:OB2"/>
    <mergeCell ref="OC2:OI2"/>
    <mergeCell ref="OJ2:OP2"/>
    <mergeCell ref="OQ2:OW2"/>
    <mergeCell ref="OX2:PD2"/>
    <mergeCell ref="PE2:PK2"/>
    <mergeCell ref="PL2:PR2"/>
    <mergeCell ref="PS2:PY2"/>
    <mergeCell ref="PZ2:QF2"/>
    <mergeCell ref="QG2:QM2"/>
    <mergeCell ref="QN2:QT2"/>
    <mergeCell ref="QU2:RA2"/>
    <mergeCell ref="RB2:RH2"/>
    <mergeCell ref="RI2:RO2"/>
    <mergeCell ref="RP2:RV2"/>
    <mergeCell ref="RW2:SC2"/>
    <mergeCell ref="SD2:SJ2"/>
    <mergeCell ref="SK2:SQ2"/>
    <mergeCell ref="SR2:SX2"/>
    <mergeCell ref="SY2:TE2"/>
    <mergeCell ref="TF2:TL2"/>
    <mergeCell ref="TM2:TS2"/>
    <mergeCell ref="TT2:TZ2"/>
    <mergeCell ref="UA2:UG2"/>
    <mergeCell ref="UH2:UN2"/>
    <mergeCell ref="UO2:UU2"/>
    <mergeCell ref="UV2:VB2"/>
    <mergeCell ref="VC2:VI2"/>
    <mergeCell ref="VJ2:VP2"/>
    <mergeCell ref="VQ2:VW2"/>
    <mergeCell ref="VX2:WD2"/>
    <mergeCell ref="WE2:WK2"/>
    <mergeCell ref="WL2:WR2"/>
    <mergeCell ref="WS2:WY2"/>
    <mergeCell ref="WZ2:XF2"/>
    <mergeCell ref="XG2:XM2"/>
    <mergeCell ref="XN2:XT2"/>
    <mergeCell ref="XU2:YA2"/>
    <mergeCell ref="YB2:YH2"/>
    <mergeCell ref="YI2:YO2"/>
    <mergeCell ref="YP2:YV2"/>
    <mergeCell ref="YW2:ZC2"/>
    <mergeCell ref="ZD2:ZJ2"/>
    <mergeCell ref="ZK2:ZQ2"/>
    <mergeCell ref="ZR2:ZX2"/>
    <mergeCell ref="ZY2:AAE2"/>
    <mergeCell ref="AAF2:AAL2"/>
    <mergeCell ref="AAM2:AAS2"/>
    <mergeCell ref="AAT2:AAZ2"/>
    <mergeCell ref="ABA2:ABG2"/>
    <mergeCell ref="ABH2:ABN2"/>
    <mergeCell ref="ABO2:ABU2"/>
    <mergeCell ref="ABV2:ACB2"/>
    <mergeCell ref="ACC2:ACI2"/>
    <mergeCell ref="ACJ2:ACP2"/>
    <mergeCell ref="ACQ2:ACW2"/>
    <mergeCell ref="ACX2:ADD2"/>
    <mergeCell ref="ADE2:ADK2"/>
    <mergeCell ref="ADL2:ADR2"/>
    <mergeCell ref="ADS2:ADY2"/>
    <mergeCell ref="ADZ2:AEF2"/>
    <mergeCell ref="AEG2:AEM2"/>
    <mergeCell ref="AEN2:AET2"/>
    <mergeCell ref="AEU2:AFA2"/>
    <mergeCell ref="AFB2:AFH2"/>
    <mergeCell ref="AFI2:AFO2"/>
    <mergeCell ref="AFP2:AFV2"/>
    <mergeCell ref="AFW2:AGC2"/>
    <mergeCell ref="AGD2:AGJ2"/>
    <mergeCell ref="AGK2:AGQ2"/>
    <mergeCell ref="AGR2:AGX2"/>
    <mergeCell ref="AGY2:AHE2"/>
    <mergeCell ref="AHF2:AHL2"/>
    <mergeCell ref="AHM2:AHS2"/>
    <mergeCell ref="AHT2:AHZ2"/>
    <mergeCell ref="AIA2:AIG2"/>
    <mergeCell ref="AIH2:AIN2"/>
    <mergeCell ref="AIO2:AIU2"/>
    <mergeCell ref="AIV2:AJB2"/>
    <mergeCell ref="AJC2:AJI2"/>
    <mergeCell ref="AJJ2:AJP2"/>
    <mergeCell ref="AJQ2:AJW2"/>
    <mergeCell ref="AJX2:AKD2"/>
    <mergeCell ref="AKE2:AKK2"/>
    <mergeCell ref="AKL2:AKR2"/>
    <mergeCell ref="AKS2:AKY2"/>
    <mergeCell ref="AKZ2:ALF2"/>
    <mergeCell ref="ALG2:ALM2"/>
    <mergeCell ref="ALN2:ALT2"/>
    <mergeCell ref="ALU2:AMA2"/>
    <mergeCell ref="AMB2:AMH2"/>
    <mergeCell ref="AMI2:AMO2"/>
    <mergeCell ref="AMP2:AMV2"/>
    <mergeCell ref="AMW2:ANC2"/>
    <mergeCell ref="AND2:ANJ2"/>
    <mergeCell ref="ANK2:ANQ2"/>
    <mergeCell ref="ANR2:ANX2"/>
    <mergeCell ref="ANY2:AOE2"/>
    <mergeCell ref="AOF2:AOL2"/>
    <mergeCell ref="AOM2:AOS2"/>
    <mergeCell ref="AOT2:AOZ2"/>
    <mergeCell ref="APA2:APG2"/>
    <mergeCell ref="APH2:APN2"/>
    <mergeCell ref="APO2:APU2"/>
    <mergeCell ref="APV2:AQB2"/>
    <mergeCell ref="AQC2:AQI2"/>
    <mergeCell ref="AQJ2:AQP2"/>
    <mergeCell ref="AQQ2:AQW2"/>
    <mergeCell ref="AQX2:ARD2"/>
    <mergeCell ref="ARE2:ARK2"/>
    <mergeCell ref="ARL2:ARR2"/>
    <mergeCell ref="ARS2:ARY2"/>
    <mergeCell ref="ARZ2:ASF2"/>
    <mergeCell ref="ASG2:ASM2"/>
    <mergeCell ref="ASN2:AST2"/>
    <mergeCell ref="ASU2:ATA2"/>
    <mergeCell ref="ATB2:ATH2"/>
    <mergeCell ref="ATI2:ATO2"/>
    <mergeCell ref="ATP2:ATV2"/>
    <mergeCell ref="ATW2:AUC2"/>
    <mergeCell ref="AUD2:AUJ2"/>
    <mergeCell ref="AUK2:AUQ2"/>
    <mergeCell ref="AUR2:AUX2"/>
    <mergeCell ref="AUY2:AVE2"/>
    <mergeCell ref="AVF2:AVL2"/>
    <mergeCell ref="AVM2:AVS2"/>
    <mergeCell ref="AVT2:AVZ2"/>
    <mergeCell ref="AWA2:AWG2"/>
    <mergeCell ref="AWH2:AWN2"/>
    <mergeCell ref="AWO2:AWU2"/>
    <mergeCell ref="AWV2:AXB2"/>
    <mergeCell ref="AXC2:AXI2"/>
    <mergeCell ref="AXJ2:AXP2"/>
    <mergeCell ref="AXQ2:AXW2"/>
    <mergeCell ref="AXX2:AYD2"/>
    <mergeCell ref="AYE2:AYK2"/>
    <mergeCell ref="AYL2:AYR2"/>
    <mergeCell ref="AYS2:AYY2"/>
    <mergeCell ref="AYZ2:AZF2"/>
    <mergeCell ref="AZG2:AZM2"/>
    <mergeCell ref="AZN2:AZT2"/>
    <mergeCell ref="AZU2:BAA2"/>
    <mergeCell ref="BAB2:BAH2"/>
    <mergeCell ref="BAI2:BAO2"/>
    <mergeCell ref="BAP2:BAV2"/>
    <mergeCell ref="BAW2:BBC2"/>
    <mergeCell ref="BBD2:BBJ2"/>
    <mergeCell ref="BBK2:BBQ2"/>
    <mergeCell ref="BBR2:BBX2"/>
    <mergeCell ref="BBY2:BCE2"/>
    <mergeCell ref="BCF2:BCL2"/>
    <mergeCell ref="BCM2:BCS2"/>
    <mergeCell ref="BCT2:BCZ2"/>
    <mergeCell ref="BDA2:BDG2"/>
    <mergeCell ref="BDH2:BDN2"/>
    <mergeCell ref="BDO2:BDU2"/>
    <mergeCell ref="BDV2:BEB2"/>
    <mergeCell ref="BEC2:BEI2"/>
    <mergeCell ref="BEJ2:BEP2"/>
    <mergeCell ref="BEQ2:BEW2"/>
    <mergeCell ref="BEX2:BFD2"/>
    <mergeCell ref="BFE2:BFK2"/>
    <mergeCell ref="BFL2:BFR2"/>
    <mergeCell ref="BFS2:BFY2"/>
    <mergeCell ref="BFZ2:BGF2"/>
    <mergeCell ref="BGG2:BGM2"/>
    <mergeCell ref="BGN2:BGT2"/>
    <mergeCell ref="BGU2:BHA2"/>
    <mergeCell ref="BHB2:BHH2"/>
    <mergeCell ref="BHI2:BHO2"/>
    <mergeCell ref="BHP2:BHV2"/>
    <mergeCell ref="BHW2:BIC2"/>
    <mergeCell ref="BID2:BIJ2"/>
    <mergeCell ref="BIK2:BIQ2"/>
    <mergeCell ref="BIR2:BIX2"/>
    <mergeCell ref="BIY2:BJE2"/>
    <mergeCell ref="BJF2:BJL2"/>
    <mergeCell ref="BJM2:BJS2"/>
    <mergeCell ref="BJT2:BJZ2"/>
    <mergeCell ref="BKA2:BKG2"/>
    <mergeCell ref="BKH2:BKN2"/>
    <mergeCell ref="BKO2:BKU2"/>
    <mergeCell ref="BKV2:BLB2"/>
    <mergeCell ref="BLC2:BLI2"/>
    <mergeCell ref="BLJ2:BLP2"/>
    <mergeCell ref="BLQ2:BLW2"/>
    <mergeCell ref="BLX2:BMD2"/>
    <mergeCell ref="BME2:BMK2"/>
    <mergeCell ref="BML2:BMR2"/>
    <mergeCell ref="BMS2:BMY2"/>
    <mergeCell ref="BMZ2:BNF2"/>
    <mergeCell ref="BNG2:BNM2"/>
    <mergeCell ref="BNN2:BNT2"/>
    <mergeCell ref="BNU2:BOA2"/>
    <mergeCell ref="BOB2:BOH2"/>
    <mergeCell ref="BOI2:BOO2"/>
    <mergeCell ref="BOP2:BOV2"/>
    <mergeCell ref="BOW2:BPC2"/>
    <mergeCell ref="BPD2:BPJ2"/>
    <mergeCell ref="BPK2:BPQ2"/>
    <mergeCell ref="BPR2:BPX2"/>
    <mergeCell ref="BPY2:BQE2"/>
    <mergeCell ref="BQF2:BQL2"/>
    <mergeCell ref="BQM2:BQS2"/>
    <mergeCell ref="BQT2:BQZ2"/>
    <mergeCell ref="BRA2:BRG2"/>
    <mergeCell ref="BRH2:BRN2"/>
    <mergeCell ref="BRO2:BRU2"/>
    <mergeCell ref="BRV2:BSB2"/>
    <mergeCell ref="BSC2:BSI2"/>
    <mergeCell ref="BSJ2:BSP2"/>
    <mergeCell ref="BSQ2:BSW2"/>
    <mergeCell ref="BSX2:BTD2"/>
    <mergeCell ref="BTE2:BTK2"/>
    <mergeCell ref="BTL2:BTR2"/>
    <mergeCell ref="BTS2:BTY2"/>
    <mergeCell ref="BTZ2:BUF2"/>
    <mergeCell ref="BUG2:BUM2"/>
    <mergeCell ref="BUN2:BUT2"/>
    <mergeCell ref="BUU2:BVA2"/>
    <mergeCell ref="BVB2:BVH2"/>
    <mergeCell ref="BVI2:BVO2"/>
    <mergeCell ref="BVP2:BVV2"/>
    <mergeCell ref="BVW2:BWC2"/>
    <mergeCell ref="BWD2:BWJ2"/>
    <mergeCell ref="BWK2:BWQ2"/>
    <mergeCell ref="BWR2:BWX2"/>
    <mergeCell ref="BWY2:BXE2"/>
    <mergeCell ref="BXF2:BXL2"/>
    <mergeCell ref="BXM2:BXS2"/>
    <mergeCell ref="BXT2:BXZ2"/>
    <mergeCell ref="BYA2:BYG2"/>
    <mergeCell ref="BYH2:BYN2"/>
    <mergeCell ref="BYO2:BYU2"/>
    <mergeCell ref="BYV2:BZB2"/>
    <mergeCell ref="BZC2:BZI2"/>
    <mergeCell ref="BZJ2:BZP2"/>
    <mergeCell ref="BZQ2:BZW2"/>
    <mergeCell ref="BZX2:CAD2"/>
    <mergeCell ref="CAE2:CAK2"/>
    <mergeCell ref="CAL2:CAR2"/>
    <mergeCell ref="CAS2:CAY2"/>
    <mergeCell ref="CAZ2:CBF2"/>
    <mergeCell ref="CBG2:CBM2"/>
    <mergeCell ref="CBN2:CBT2"/>
    <mergeCell ref="CBU2:CCA2"/>
    <mergeCell ref="CCB2:CCH2"/>
    <mergeCell ref="CCI2:CCO2"/>
    <mergeCell ref="CCP2:CCV2"/>
    <mergeCell ref="CCW2:CDC2"/>
    <mergeCell ref="CDD2:CDJ2"/>
    <mergeCell ref="CDK2:CDQ2"/>
    <mergeCell ref="CDR2:CDX2"/>
    <mergeCell ref="CDY2:CEE2"/>
    <mergeCell ref="CEF2:CEL2"/>
    <mergeCell ref="CEM2:CES2"/>
    <mergeCell ref="CET2:CEZ2"/>
    <mergeCell ref="CFA2:CFG2"/>
    <mergeCell ref="CFH2:CFN2"/>
    <mergeCell ref="CFO2:CFU2"/>
    <mergeCell ref="CFV2:CGB2"/>
    <mergeCell ref="CGC2:CGI2"/>
    <mergeCell ref="CGJ2:CGP2"/>
    <mergeCell ref="CGQ2:CGW2"/>
    <mergeCell ref="CGX2:CHD2"/>
    <mergeCell ref="CHE2:CHK2"/>
    <mergeCell ref="CHL2:CHR2"/>
    <mergeCell ref="CHS2:CHY2"/>
    <mergeCell ref="CHZ2:CIF2"/>
    <mergeCell ref="CIG2:CIM2"/>
    <mergeCell ref="CIN2:CIT2"/>
    <mergeCell ref="CIU2:CJA2"/>
    <mergeCell ref="CJB2:CJH2"/>
    <mergeCell ref="CJI2:CJO2"/>
    <mergeCell ref="CJP2:CJV2"/>
    <mergeCell ref="CJW2:CKC2"/>
    <mergeCell ref="CKD2:CKJ2"/>
    <mergeCell ref="CKK2:CKQ2"/>
    <mergeCell ref="CKR2:CKX2"/>
    <mergeCell ref="CKY2:CLE2"/>
    <mergeCell ref="CLF2:CLL2"/>
    <mergeCell ref="CLM2:CLS2"/>
    <mergeCell ref="CLT2:CLZ2"/>
    <mergeCell ref="CMA2:CMG2"/>
    <mergeCell ref="CMH2:CMN2"/>
    <mergeCell ref="CMO2:CMU2"/>
    <mergeCell ref="CMV2:CNB2"/>
    <mergeCell ref="CNC2:CNI2"/>
    <mergeCell ref="CNJ2:CNP2"/>
    <mergeCell ref="CNQ2:CNW2"/>
    <mergeCell ref="CNX2:COD2"/>
    <mergeCell ref="COE2:COK2"/>
    <mergeCell ref="COL2:COR2"/>
    <mergeCell ref="COS2:COY2"/>
    <mergeCell ref="COZ2:CPF2"/>
    <mergeCell ref="CPG2:CPM2"/>
    <mergeCell ref="CPN2:CPT2"/>
    <mergeCell ref="CPU2:CQA2"/>
    <mergeCell ref="CQB2:CQH2"/>
    <mergeCell ref="CQI2:CQO2"/>
    <mergeCell ref="CQP2:CQV2"/>
    <mergeCell ref="CQW2:CRC2"/>
    <mergeCell ref="CRD2:CRJ2"/>
    <mergeCell ref="CRK2:CRQ2"/>
    <mergeCell ref="CRR2:CRX2"/>
    <mergeCell ref="CRY2:CSE2"/>
    <mergeCell ref="CSF2:CSL2"/>
    <mergeCell ref="CSM2:CSS2"/>
    <mergeCell ref="CST2:CSZ2"/>
    <mergeCell ref="CTA2:CTG2"/>
    <mergeCell ref="CTH2:CTN2"/>
    <mergeCell ref="CTO2:CTU2"/>
    <mergeCell ref="CTV2:CUB2"/>
    <mergeCell ref="CUC2:CUI2"/>
    <mergeCell ref="CUJ2:CUP2"/>
    <mergeCell ref="CUQ2:CUW2"/>
    <mergeCell ref="CUX2:CVD2"/>
    <mergeCell ref="CVE2:CVK2"/>
    <mergeCell ref="CVL2:CVR2"/>
    <mergeCell ref="CVS2:CVY2"/>
    <mergeCell ref="CVZ2:CWF2"/>
    <mergeCell ref="CWG2:CWM2"/>
    <mergeCell ref="CWN2:CWT2"/>
    <mergeCell ref="CWU2:CXA2"/>
    <mergeCell ref="CXB2:CXH2"/>
    <mergeCell ref="CXI2:CXO2"/>
    <mergeCell ref="CXP2:CXV2"/>
    <mergeCell ref="CXW2:CYC2"/>
    <mergeCell ref="CYD2:CYJ2"/>
    <mergeCell ref="CYK2:CYQ2"/>
    <mergeCell ref="CYR2:CYX2"/>
    <mergeCell ref="CYY2:CZE2"/>
    <mergeCell ref="CZF2:CZL2"/>
    <mergeCell ref="CZM2:CZS2"/>
    <mergeCell ref="CZT2:CZZ2"/>
    <mergeCell ref="DAA2:DAG2"/>
    <mergeCell ref="DAH2:DAN2"/>
    <mergeCell ref="DAO2:DAU2"/>
    <mergeCell ref="DAV2:DBB2"/>
    <mergeCell ref="DBC2:DBI2"/>
    <mergeCell ref="DBJ2:DBP2"/>
    <mergeCell ref="DBQ2:DBW2"/>
    <mergeCell ref="DBX2:DCD2"/>
    <mergeCell ref="DCE2:DCK2"/>
    <mergeCell ref="DCL2:DCR2"/>
    <mergeCell ref="DCS2:DCY2"/>
    <mergeCell ref="DCZ2:DDF2"/>
    <mergeCell ref="DDG2:DDM2"/>
    <mergeCell ref="DDN2:DDT2"/>
    <mergeCell ref="DDU2:DEA2"/>
    <mergeCell ref="DEB2:DEH2"/>
    <mergeCell ref="DEI2:DEO2"/>
    <mergeCell ref="DEP2:DEV2"/>
    <mergeCell ref="DEW2:DFC2"/>
    <mergeCell ref="DFD2:DFJ2"/>
    <mergeCell ref="DFK2:DFQ2"/>
    <mergeCell ref="DFR2:DFX2"/>
    <mergeCell ref="DFY2:DGE2"/>
    <mergeCell ref="DGF2:DGL2"/>
    <mergeCell ref="DGM2:DGS2"/>
    <mergeCell ref="DGT2:DGZ2"/>
    <mergeCell ref="DHA2:DHG2"/>
    <mergeCell ref="DHH2:DHN2"/>
    <mergeCell ref="DHO2:DHU2"/>
    <mergeCell ref="DHV2:DIB2"/>
    <mergeCell ref="DIC2:DII2"/>
    <mergeCell ref="DIJ2:DIP2"/>
    <mergeCell ref="DIQ2:DIW2"/>
    <mergeCell ref="DIX2:DJD2"/>
    <mergeCell ref="DJE2:DJK2"/>
    <mergeCell ref="DJL2:DJR2"/>
    <mergeCell ref="DJS2:DJY2"/>
    <mergeCell ref="DJZ2:DKF2"/>
    <mergeCell ref="DKG2:DKM2"/>
    <mergeCell ref="DKN2:DKT2"/>
    <mergeCell ref="DKU2:DLA2"/>
    <mergeCell ref="DLB2:DLH2"/>
    <mergeCell ref="DLI2:DLO2"/>
    <mergeCell ref="DLP2:DLV2"/>
    <mergeCell ref="DLW2:DMC2"/>
    <mergeCell ref="DMD2:DMJ2"/>
    <mergeCell ref="DMK2:DMQ2"/>
    <mergeCell ref="DMR2:DMX2"/>
    <mergeCell ref="DMY2:DNE2"/>
    <mergeCell ref="DNF2:DNL2"/>
    <mergeCell ref="DNM2:DNS2"/>
    <mergeCell ref="DNT2:DNZ2"/>
    <mergeCell ref="DOA2:DOG2"/>
    <mergeCell ref="DOH2:DON2"/>
    <mergeCell ref="DOO2:DOU2"/>
    <mergeCell ref="DOV2:DPB2"/>
    <mergeCell ref="DPC2:DPI2"/>
    <mergeCell ref="DPJ2:DPP2"/>
    <mergeCell ref="DPQ2:DPW2"/>
    <mergeCell ref="DPX2:DQD2"/>
    <mergeCell ref="DQE2:DQK2"/>
    <mergeCell ref="DQL2:DQR2"/>
    <mergeCell ref="DQS2:DQY2"/>
    <mergeCell ref="DQZ2:DRF2"/>
    <mergeCell ref="DRG2:DRM2"/>
    <mergeCell ref="DRN2:DRT2"/>
    <mergeCell ref="DRU2:DSA2"/>
    <mergeCell ref="DSB2:DSH2"/>
    <mergeCell ref="DSI2:DSO2"/>
    <mergeCell ref="DSP2:DSV2"/>
    <mergeCell ref="DSW2:DTC2"/>
    <mergeCell ref="DTD2:DTJ2"/>
    <mergeCell ref="DTK2:DTQ2"/>
    <mergeCell ref="DTR2:DTX2"/>
    <mergeCell ref="DTY2:DUE2"/>
    <mergeCell ref="DUF2:DUL2"/>
    <mergeCell ref="DUM2:DUS2"/>
    <mergeCell ref="DUT2:DUZ2"/>
    <mergeCell ref="DVA2:DVG2"/>
    <mergeCell ref="DVH2:DVN2"/>
    <mergeCell ref="DVO2:DVU2"/>
    <mergeCell ref="DVV2:DWB2"/>
    <mergeCell ref="DWC2:DWI2"/>
    <mergeCell ref="DWJ2:DWP2"/>
    <mergeCell ref="DWQ2:DWW2"/>
    <mergeCell ref="DWX2:DXD2"/>
    <mergeCell ref="DXE2:DXK2"/>
    <mergeCell ref="DXL2:DXR2"/>
    <mergeCell ref="DXS2:DXY2"/>
    <mergeCell ref="DXZ2:DYF2"/>
    <mergeCell ref="DYG2:DYM2"/>
    <mergeCell ref="DYN2:DYT2"/>
    <mergeCell ref="DYU2:DZA2"/>
    <mergeCell ref="DZB2:DZH2"/>
    <mergeCell ref="DZI2:DZO2"/>
    <mergeCell ref="DZP2:DZV2"/>
    <mergeCell ref="DZW2:EAC2"/>
    <mergeCell ref="EAD2:EAJ2"/>
    <mergeCell ref="EAK2:EAQ2"/>
    <mergeCell ref="EAR2:EAX2"/>
    <mergeCell ref="EAY2:EBE2"/>
    <mergeCell ref="EBF2:EBL2"/>
    <mergeCell ref="EBM2:EBS2"/>
    <mergeCell ref="EBT2:EBZ2"/>
    <mergeCell ref="ECA2:ECG2"/>
    <mergeCell ref="ECH2:ECN2"/>
    <mergeCell ref="ECO2:ECU2"/>
    <mergeCell ref="ECV2:EDB2"/>
    <mergeCell ref="EDC2:EDI2"/>
    <mergeCell ref="EDJ2:EDP2"/>
    <mergeCell ref="EDQ2:EDW2"/>
    <mergeCell ref="EDX2:EED2"/>
    <mergeCell ref="EEE2:EEK2"/>
    <mergeCell ref="EEL2:EER2"/>
    <mergeCell ref="EES2:EEY2"/>
    <mergeCell ref="EEZ2:EFF2"/>
    <mergeCell ref="EFG2:EFM2"/>
    <mergeCell ref="EFN2:EFT2"/>
    <mergeCell ref="EFU2:EGA2"/>
    <mergeCell ref="EGB2:EGH2"/>
    <mergeCell ref="EGI2:EGO2"/>
    <mergeCell ref="EGP2:EGV2"/>
    <mergeCell ref="EGW2:EHC2"/>
    <mergeCell ref="EHD2:EHJ2"/>
    <mergeCell ref="EHK2:EHQ2"/>
    <mergeCell ref="EHR2:EHX2"/>
    <mergeCell ref="EHY2:EIE2"/>
    <mergeCell ref="EIF2:EIL2"/>
    <mergeCell ref="EIM2:EIS2"/>
    <mergeCell ref="EIT2:EIZ2"/>
    <mergeCell ref="EJA2:EJG2"/>
    <mergeCell ref="EJH2:EJN2"/>
    <mergeCell ref="EJO2:EJU2"/>
    <mergeCell ref="EJV2:EKB2"/>
    <mergeCell ref="EKC2:EKI2"/>
    <mergeCell ref="EKJ2:EKP2"/>
    <mergeCell ref="EKQ2:EKW2"/>
    <mergeCell ref="EKX2:ELD2"/>
    <mergeCell ref="ELE2:ELK2"/>
    <mergeCell ref="ELL2:ELR2"/>
    <mergeCell ref="ELS2:ELY2"/>
    <mergeCell ref="ELZ2:EMF2"/>
    <mergeCell ref="EMG2:EMM2"/>
    <mergeCell ref="EMN2:EMT2"/>
    <mergeCell ref="EMU2:ENA2"/>
    <mergeCell ref="ENB2:ENH2"/>
    <mergeCell ref="ENI2:ENO2"/>
    <mergeCell ref="ENP2:ENV2"/>
    <mergeCell ref="ENW2:EOC2"/>
    <mergeCell ref="EOD2:EOJ2"/>
    <mergeCell ref="EOK2:EOQ2"/>
    <mergeCell ref="EOR2:EOX2"/>
    <mergeCell ref="EOY2:EPE2"/>
    <mergeCell ref="EPF2:EPL2"/>
    <mergeCell ref="EPM2:EPS2"/>
    <mergeCell ref="EPT2:EPZ2"/>
    <mergeCell ref="EQA2:EQG2"/>
    <mergeCell ref="EQH2:EQN2"/>
    <mergeCell ref="EQO2:EQU2"/>
    <mergeCell ref="EQV2:ERB2"/>
    <mergeCell ref="ERC2:ERI2"/>
    <mergeCell ref="ERJ2:ERP2"/>
    <mergeCell ref="ERQ2:ERW2"/>
    <mergeCell ref="ERX2:ESD2"/>
    <mergeCell ref="ESE2:ESK2"/>
    <mergeCell ref="ESL2:ESR2"/>
    <mergeCell ref="ESS2:ESY2"/>
    <mergeCell ref="ESZ2:ETF2"/>
    <mergeCell ref="ETG2:ETM2"/>
    <mergeCell ref="ETN2:ETT2"/>
    <mergeCell ref="ETU2:EUA2"/>
    <mergeCell ref="EUB2:EUH2"/>
    <mergeCell ref="EUI2:EUO2"/>
    <mergeCell ref="EUP2:EUV2"/>
    <mergeCell ref="EUW2:EVC2"/>
    <mergeCell ref="EVD2:EVJ2"/>
    <mergeCell ref="EVK2:EVQ2"/>
    <mergeCell ref="EVR2:EVX2"/>
    <mergeCell ref="EVY2:EWE2"/>
    <mergeCell ref="EWF2:EWL2"/>
    <mergeCell ref="EWM2:EWS2"/>
    <mergeCell ref="EWT2:EWZ2"/>
    <mergeCell ref="EXA2:EXG2"/>
    <mergeCell ref="EXH2:EXN2"/>
    <mergeCell ref="EXO2:EXU2"/>
    <mergeCell ref="EXV2:EYB2"/>
    <mergeCell ref="EYC2:EYI2"/>
    <mergeCell ref="EYJ2:EYP2"/>
    <mergeCell ref="EYQ2:EYW2"/>
    <mergeCell ref="EYX2:EZD2"/>
    <mergeCell ref="EZE2:EZK2"/>
    <mergeCell ref="EZL2:EZR2"/>
    <mergeCell ref="EZS2:EZY2"/>
    <mergeCell ref="EZZ2:FAF2"/>
    <mergeCell ref="FAG2:FAM2"/>
    <mergeCell ref="FAN2:FAT2"/>
    <mergeCell ref="FAU2:FBA2"/>
    <mergeCell ref="FBB2:FBH2"/>
    <mergeCell ref="FBI2:FBO2"/>
    <mergeCell ref="FBP2:FBV2"/>
    <mergeCell ref="FBW2:FCC2"/>
    <mergeCell ref="FCD2:FCJ2"/>
    <mergeCell ref="FCK2:FCQ2"/>
    <mergeCell ref="FCR2:FCX2"/>
    <mergeCell ref="FCY2:FDE2"/>
    <mergeCell ref="FDF2:FDL2"/>
    <mergeCell ref="FDM2:FDS2"/>
    <mergeCell ref="FDT2:FDZ2"/>
    <mergeCell ref="FEA2:FEG2"/>
    <mergeCell ref="FEH2:FEN2"/>
    <mergeCell ref="FEO2:FEU2"/>
    <mergeCell ref="FEV2:FFB2"/>
    <mergeCell ref="FFC2:FFI2"/>
    <mergeCell ref="FFJ2:FFP2"/>
    <mergeCell ref="FFQ2:FFW2"/>
    <mergeCell ref="FFX2:FGD2"/>
    <mergeCell ref="FGE2:FGK2"/>
    <mergeCell ref="FGL2:FGR2"/>
    <mergeCell ref="FGS2:FGY2"/>
    <mergeCell ref="FGZ2:FHF2"/>
    <mergeCell ref="FHG2:FHM2"/>
    <mergeCell ref="FHN2:FHT2"/>
    <mergeCell ref="FHU2:FIA2"/>
    <mergeCell ref="FIB2:FIH2"/>
    <mergeCell ref="FII2:FIO2"/>
    <mergeCell ref="FIP2:FIV2"/>
    <mergeCell ref="FIW2:FJC2"/>
    <mergeCell ref="FJD2:FJJ2"/>
    <mergeCell ref="FJK2:FJQ2"/>
    <mergeCell ref="FJR2:FJX2"/>
    <mergeCell ref="FJY2:FKE2"/>
    <mergeCell ref="FKF2:FKL2"/>
    <mergeCell ref="FKM2:FKS2"/>
    <mergeCell ref="FKT2:FKZ2"/>
    <mergeCell ref="FLA2:FLG2"/>
    <mergeCell ref="FLH2:FLN2"/>
    <mergeCell ref="FLO2:FLU2"/>
    <mergeCell ref="FLV2:FMB2"/>
    <mergeCell ref="FMC2:FMI2"/>
    <mergeCell ref="FMJ2:FMP2"/>
    <mergeCell ref="FMQ2:FMW2"/>
    <mergeCell ref="FMX2:FND2"/>
    <mergeCell ref="FNE2:FNK2"/>
    <mergeCell ref="FNL2:FNR2"/>
    <mergeCell ref="FNS2:FNY2"/>
    <mergeCell ref="FNZ2:FOF2"/>
    <mergeCell ref="FOG2:FOM2"/>
    <mergeCell ref="FON2:FOT2"/>
    <mergeCell ref="FOU2:FPA2"/>
    <mergeCell ref="FPB2:FPH2"/>
    <mergeCell ref="FPI2:FPO2"/>
    <mergeCell ref="FPP2:FPV2"/>
    <mergeCell ref="FPW2:FQC2"/>
    <mergeCell ref="FQD2:FQJ2"/>
    <mergeCell ref="FQK2:FQQ2"/>
    <mergeCell ref="FQR2:FQX2"/>
    <mergeCell ref="FQY2:FRE2"/>
    <mergeCell ref="FRF2:FRL2"/>
    <mergeCell ref="FRM2:FRS2"/>
    <mergeCell ref="FRT2:FRZ2"/>
    <mergeCell ref="FSA2:FSG2"/>
    <mergeCell ref="FSH2:FSN2"/>
    <mergeCell ref="FSO2:FSU2"/>
    <mergeCell ref="FSV2:FTB2"/>
    <mergeCell ref="FTC2:FTI2"/>
    <mergeCell ref="FTJ2:FTP2"/>
    <mergeCell ref="FTQ2:FTW2"/>
    <mergeCell ref="FTX2:FUD2"/>
    <mergeCell ref="FUE2:FUK2"/>
    <mergeCell ref="FUL2:FUR2"/>
    <mergeCell ref="FUS2:FUY2"/>
    <mergeCell ref="FUZ2:FVF2"/>
    <mergeCell ref="FVG2:FVM2"/>
    <mergeCell ref="FVN2:FVT2"/>
    <mergeCell ref="FVU2:FWA2"/>
    <mergeCell ref="FWB2:FWH2"/>
    <mergeCell ref="FWI2:FWO2"/>
    <mergeCell ref="FWP2:FWV2"/>
    <mergeCell ref="FWW2:FXC2"/>
    <mergeCell ref="FXD2:FXJ2"/>
    <mergeCell ref="FXK2:FXQ2"/>
    <mergeCell ref="FXR2:FXX2"/>
    <mergeCell ref="FXY2:FYE2"/>
    <mergeCell ref="FYF2:FYL2"/>
    <mergeCell ref="FYM2:FYS2"/>
    <mergeCell ref="FYT2:FYZ2"/>
    <mergeCell ref="FZA2:FZG2"/>
    <mergeCell ref="FZH2:FZN2"/>
    <mergeCell ref="FZO2:FZU2"/>
    <mergeCell ref="FZV2:GAB2"/>
    <mergeCell ref="GAC2:GAI2"/>
    <mergeCell ref="GAJ2:GAP2"/>
    <mergeCell ref="GAQ2:GAW2"/>
    <mergeCell ref="GAX2:GBD2"/>
    <mergeCell ref="GBE2:GBK2"/>
    <mergeCell ref="GBL2:GBR2"/>
    <mergeCell ref="GBS2:GBY2"/>
    <mergeCell ref="GBZ2:GCF2"/>
    <mergeCell ref="GCG2:GCM2"/>
    <mergeCell ref="GCN2:GCT2"/>
    <mergeCell ref="GCU2:GDA2"/>
    <mergeCell ref="GDB2:GDH2"/>
    <mergeCell ref="GDI2:GDO2"/>
    <mergeCell ref="GDP2:GDV2"/>
    <mergeCell ref="GDW2:GEC2"/>
    <mergeCell ref="GED2:GEJ2"/>
    <mergeCell ref="GEK2:GEQ2"/>
    <mergeCell ref="GER2:GEX2"/>
    <mergeCell ref="GEY2:GFE2"/>
    <mergeCell ref="GFF2:GFL2"/>
    <mergeCell ref="GFM2:GFS2"/>
    <mergeCell ref="GFT2:GFZ2"/>
    <mergeCell ref="GGA2:GGG2"/>
    <mergeCell ref="GGH2:GGN2"/>
    <mergeCell ref="GGO2:GGU2"/>
    <mergeCell ref="GGV2:GHB2"/>
    <mergeCell ref="GHC2:GHI2"/>
    <mergeCell ref="GHJ2:GHP2"/>
    <mergeCell ref="GHQ2:GHW2"/>
    <mergeCell ref="GHX2:GID2"/>
    <mergeCell ref="GIE2:GIK2"/>
    <mergeCell ref="GIL2:GIR2"/>
    <mergeCell ref="GIS2:GIY2"/>
    <mergeCell ref="GIZ2:GJF2"/>
    <mergeCell ref="GJG2:GJM2"/>
    <mergeCell ref="GJN2:GJT2"/>
    <mergeCell ref="GJU2:GKA2"/>
    <mergeCell ref="GKB2:GKH2"/>
    <mergeCell ref="GKI2:GKO2"/>
    <mergeCell ref="GKP2:GKV2"/>
    <mergeCell ref="GKW2:GLC2"/>
    <mergeCell ref="GLD2:GLJ2"/>
    <mergeCell ref="GLK2:GLQ2"/>
    <mergeCell ref="GLR2:GLX2"/>
    <mergeCell ref="GLY2:GME2"/>
    <mergeCell ref="GMF2:GML2"/>
    <mergeCell ref="GMM2:GMS2"/>
    <mergeCell ref="GMT2:GMZ2"/>
    <mergeCell ref="GNA2:GNG2"/>
    <mergeCell ref="GNH2:GNN2"/>
    <mergeCell ref="GNO2:GNU2"/>
    <mergeCell ref="GNV2:GOB2"/>
    <mergeCell ref="GOC2:GOI2"/>
    <mergeCell ref="GOJ2:GOP2"/>
    <mergeCell ref="GOQ2:GOW2"/>
    <mergeCell ref="GOX2:GPD2"/>
    <mergeCell ref="GPE2:GPK2"/>
    <mergeCell ref="GPL2:GPR2"/>
    <mergeCell ref="GPS2:GPY2"/>
    <mergeCell ref="GPZ2:GQF2"/>
    <mergeCell ref="GQG2:GQM2"/>
    <mergeCell ref="GQN2:GQT2"/>
    <mergeCell ref="GQU2:GRA2"/>
    <mergeCell ref="GRB2:GRH2"/>
    <mergeCell ref="GRI2:GRO2"/>
    <mergeCell ref="GRP2:GRV2"/>
    <mergeCell ref="GRW2:GSC2"/>
    <mergeCell ref="GSD2:GSJ2"/>
    <mergeCell ref="GSK2:GSQ2"/>
    <mergeCell ref="GSR2:GSX2"/>
    <mergeCell ref="GSY2:GTE2"/>
    <mergeCell ref="GTF2:GTL2"/>
    <mergeCell ref="GTM2:GTS2"/>
    <mergeCell ref="GTT2:GTZ2"/>
    <mergeCell ref="GUA2:GUG2"/>
    <mergeCell ref="GUH2:GUN2"/>
    <mergeCell ref="GUO2:GUU2"/>
    <mergeCell ref="GUV2:GVB2"/>
    <mergeCell ref="GVC2:GVI2"/>
    <mergeCell ref="GVJ2:GVP2"/>
    <mergeCell ref="GVQ2:GVW2"/>
    <mergeCell ref="GVX2:GWD2"/>
    <mergeCell ref="GWE2:GWK2"/>
    <mergeCell ref="GWL2:GWR2"/>
    <mergeCell ref="GWS2:GWY2"/>
    <mergeCell ref="GWZ2:GXF2"/>
    <mergeCell ref="GXG2:GXM2"/>
    <mergeCell ref="GXN2:GXT2"/>
    <mergeCell ref="GXU2:GYA2"/>
    <mergeCell ref="GYB2:GYH2"/>
    <mergeCell ref="GYI2:GYO2"/>
    <mergeCell ref="GYP2:GYV2"/>
    <mergeCell ref="GYW2:GZC2"/>
    <mergeCell ref="GZD2:GZJ2"/>
    <mergeCell ref="GZK2:GZQ2"/>
    <mergeCell ref="GZR2:GZX2"/>
    <mergeCell ref="GZY2:HAE2"/>
    <mergeCell ref="HAF2:HAL2"/>
    <mergeCell ref="HAM2:HAS2"/>
    <mergeCell ref="HAT2:HAZ2"/>
    <mergeCell ref="HBA2:HBG2"/>
    <mergeCell ref="HBH2:HBN2"/>
    <mergeCell ref="HBO2:HBU2"/>
    <mergeCell ref="HBV2:HCB2"/>
    <mergeCell ref="HCC2:HCI2"/>
    <mergeCell ref="HCJ2:HCP2"/>
    <mergeCell ref="HCQ2:HCW2"/>
    <mergeCell ref="HCX2:HDD2"/>
    <mergeCell ref="HDE2:HDK2"/>
    <mergeCell ref="HDL2:HDR2"/>
    <mergeCell ref="HDS2:HDY2"/>
    <mergeCell ref="HDZ2:HEF2"/>
    <mergeCell ref="HEG2:HEM2"/>
    <mergeCell ref="HEN2:HET2"/>
    <mergeCell ref="HEU2:HFA2"/>
    <mergeCell ref="HFB2:HFH2"/>
    <mergeCell ref="HFI2:HFO2"/>
    <mergeCell ref="HFP2:HFV2"/>
    <mergeCell ref="HFW2:HGC2"/>
    <mergeCell ref="HGD2:HGJ2"/>
    <mergeCell ref="HGK2:HGQ2"/>
    <mergeCell ref="HGR2:HGX2"/>
    <mergeCell ref="HGY2:HHE2"/>
    <mergeCell ref="HHF2:HHL2"/>
    <mergeCell ref="HHM2:HHS2"/>
    <mergeCell ref="HHT2:HHZ2"/>
    <mergeCell ref="HIA2:HIG2"/>
    <mergeCell ref="HIH2:HIN2"/>
    <mergeCell ref="HIO2:HIU2"/>
    <mergeCell ref="HIV2:HJB2"/>
    <mergeCell ref="HJC2:HJI2"/>
    <mergeCell ref="HJJ2:HJP2"/>
    <mergeCell ref="HJQ2:HJW2"/>
    <mergeCell ref="HJX2:HKD2"/>
    <mergeCell ref="HKE2:HKK2"/>
    <mergeCell ref="HKL2:HKR2"/>
    <mergeCell ref="HKS2:HKY2"/>
    <mergeCell ref="HKZ2:HLF2"/>
    <mergeCell ref="HLG2:HLM2"/>
    <mergeCell ref="HLN2:HLT2"/>
    <mergeCell ref="HLU2:HMA2"/>
    <mergeCell ref="HMB2:HMH2"/>
    <mergeCell ref="HMI2:HMO2"/>
    <mergeCell ref="HMP2:HMV2"/>
    <mergeCell ref="HMW2:HNC2"/>
    <mergeCell ref="HND2:HNJ2"/>
    <mergeCell ref="HNK2:HNQ2"/>
    <mergeCell ref="HNR2:HNX2"/>
    <mergeCell ref="HNY2:HOE2"/>
    <mergeCell ref="HOF2:HOL2"/>
    <mergeCell ref="HOM2:HOS2"/>
    <mergeCell ref="HOT2:HOZ2"/>
    <mergeCell ref="HPA2:HPG2"/>
    <mergeCell ref="HPH2:HPN2"/>
    <mergeCell ref="HPO2:HPU2"/>
    <mergeCell ref="HPV2:HQB2"/>
    <mergeCell ref="HQC2:HQI2"/>
    <mergeCell ref="HQJ2:HQP2"/>
    <mergeCell ref="HQQ2:HQW2"/>
    <mergeCell ref="HQX2:HRD2"/>
    <mergeCell ref="HRE2:HRK2"/>
    <mergeCell ref="HRL2:HRR2"/>
    <mergeCell ref="HRS2:HRY2"/>
    <mergeCell ref="HRZ2:HSF2"/>
    <mergeCell ref="HSG2:HSM2"/>
    <mergeCell ref="HSN2:HST2"/>
    <mergeCell ref="HSU2:HTA2"/>
    <mergeCell ref="HTB2:HTH2"/>
    <mergeCell ref="HTI2:HTO2"/>
    <mergeCell ref="HTP2:HTV2"/>
    <mergeCell ref="HTW2:HUC2"/>
    <mergeCell ref="HUD2:HUJ2"/>
    <mergeCell ref="HUK2:HUQ2"/>
    <mergeCell ref="HUR2:HUX2"/>
    <mergeCell ref="HUY2:HVE2"/>
    <mergeCell ref="HVF2:HVL2"/>
    <mergeCell ref="HVM2:HVS2"/>
    <mergeCell ref="HVT2:HVZ2"/>
    <mergeCell ref="HWA2:HWG2"/>
    <mergeCell ref="HWH2:HWN2"/>
    <mergeCell ref="HWO2:HWU2"/>
    <mergeCell ref="HWV2:HXB2"/>
    <mergeCell ref="HXC2:HXI2"/>
    <mergeCell ref="HXJ2:HXP2"/>
    <mergeCell ref="HXQ2:HXW2"/>
    <mergeCell ref="HXX2:HYD2"/>
    <mergeCell ref="HYE2:HYK2"/>
    <mergeCell ref="HYL2:HYR2"/>
    <mergeCell ref="HYS2:HYY2"/>
    <mergeCell ref="HYZ2:HZF2"/>
    <mergeCell ref="HZG2:HZM2"/>
    <mergeCell ref="HZN2:HZT2"/>
    <mergeCell ref="HZU2:IAA2"/>
    <mergeCell ref="IAB2:IAH2"/>
    <mergeCell ref="IAI2:IAO2"/>
    <mergeCell ref="IAP2:IAV2"/>
    <mergeCell ref="IAW2:IBC2"/>
    <mergeCell ref="IBD2:IBJ2"/>
    <mergeCell ref="IBK2:IBQ2"/>
    <mergeCell ref="IBR2:IBX2"/>
    <mergeCell ref="IBY2:ICE2"/>
    <mergeCell ref="ICF2:ICL2"/>
    <mergeCell ref="ICM2:ICS2"/>
    <mergeCell ref="ICT2:ICZ2"/>
    <mergeCell ref="IDA2:IDG2"/>
    <mergeCell ref="IDH2:IDN2"/>
    <mergeCell ref="IDO2:IDU2"/>
    <mergeCell ref="IDV2:IEB2"/>
    <mergeCell ref="IEC2:IEI2"/>
    <mergeCell ref="IEJ2:IEP2"/>
    <mergeCell ref="IEQ2:IEW2"/>
    <mergeCell ref="IEX2:IFD2"/>
    <mergeCell ref="IFE2:IFK2"/>
    <mergeCell ref="IFL2:IFR2"/>
    <mergeCell ref="IFS2:IFY2"/>
    <mergeCell ref="IFZ2:IGF2"/>
    <mergeCell ref="IGG2:IGM2"/>
    <mergeCell ref="IGN2:IGT2"/>
    <mergeCell ref="IGU2:IHA2"/>
    <mergeCell ref="IHB2:IHH2"/>
    <mergeCell ref="IHI2:IHO2"/>
    <mergeCell ref="IHP2:IHV2"/>
    <mergeCell ref="IHW2:IIC2"/>
    <mergeCell ref="IID2:IIJ2"/>
    <mergeCell ref="IIK2:IIQ2"/>
    <mergeCell ref="IIR2:IIX2"/>
    <mergeCell ref="IIY2:IJE2"/>
    <mergeCell ref="IJF2:IJL2"/>
    <mergeCell ref="IJM2:IJS2"/>
    <mergeCell ref="IJT2:IJZ2"/>
    <mergeCell ref="IKA2:IKG2"/>
    <mergeCell ref="IKH2:IKN2"/>
    <mergeCell ref="IKO2:IKU2"/>
    <mergeCell ref="IKV2:ILB2"/>
    <mergeCell ref="ILC2:ILI2"/>
    <mergeCell ref="ILJ2:ILP2"/>
    <mergeCell ref="ILQ2:ILW2"/>
    <mergeCell ref="ILX2:IMD2"/>
    <mergeCell ref="IME2:IMK2"/>
    <mergeCell ref="IML2:IMR2"/>
    <mergeCell ref="IMS2:IMY2"/>
    <mergeCell ref="IMZ2:INF2"/>
    <mergeCell ref="ING2:INM2"/>
    <mergeCell ref="INN2:INT2"/>
    <mergeCell ref="INU2:IOA2"/>
    <mergeCell ref="IOB2:IOH2"/>
    <mergeCell ref="IOI2:IOO2"/>
    <mergeCell ref="IOP2:IOV2"/>
    <mergeCell ref="IOW2:IPC2"/>
    <mergeCell ref="IPD2:IPJ2"/>
    <mergeCell ref="IPK2:IPQ2"/>
    <mergeCell ref="IPR2:IPX2"/>
    <mergeCell ref="IPY2:IQE2"/>
    <mergeCell ref="IQF2:IQL2"/>
    <mergeCell ref="IQM2:IQS2"/>
    <mergeCell ref="IQT2:IQZ2"/>
    <mergeCell ref="IRA2:IRG2"/>
    <mergeCell ref="IRH2:IRN2"/>
    <mergeCell ref="IRO2:IRU2"/>
    <mergeCell ref="IRV2:ISB2"/>
    <mergeCell ref="ISC2:ISI2"/>
    <mergeCell ref="ISJ2:ISP2"/>
    <mergeCell ref="ISQ2:ISW2"/>
    <mergeCell ref="ISX2:ITD2"/>
    <mergeCell ref="ITE2:ITK2"/>
    <mergeCell ref="ITL2:ITR2"/>
    <mergeCell ref="ITS2:ITY2"/>
    <mergeCell ref="ITZ2:IUF2"/>
    <mergeCell ref="IUG2:IUM2"/>
    <mergeCell ref="IUN2:IUT2"/>
    <mergeCell ref="IUU2:IVA2"/>
    <mergeCell ref="IVB2:IVH2"/>
    <mergeCell ref="IVI2:IVO2"/>
    <mergeCell ref="IVP2:IVV2"/>
    <mergeCell ref="IVW2:IWC2"/>
    <mergeCell ref="IWD2:IWJ2"/>
    <mergeCell ref="IWK2:IWQ2"/>
    <mergeCell ref="IWR2:IWX2"/>
    <mergeCell ref="IWY2:IXE2"/>
    <mergeCell ref="IXF2:IXL2"/>
    <mergeCell ref="IXM2:IXS2"/>
    <mergeCell ref="IXT2:IXZ2"/>
    <mergeCell ref="IYA2:IYG2"/>
    <mergeCell ref="IYH2:IYN2"/>
    <mergeCell ref="IYO2:IYU2"/>
    <mergeCell ref="IYV2:IZB2"/>
    <mergeCell ref="IZC2:IZI2"/>
    <mergeCell ref="IZJ2:IZP2"/>
    <mergeCell ref="IZQ2:IZW2"/>
    <mergeCell ref="IZX2:JAD2"/>
    <mergeCell ref="JAE2:JAK2"/>
    <mergeCell ref="JAL2:JAR2"/>
    <mergeCell ref="JAS2:JAY2"/>
    <mergeCell ref="JAZ2:JBF2"/>
    <mergeCell ref="JBG2:JBM2"/>
    <mergeCell ref="JBN2:JBT2"/>
    <mergeCell ref="JBU2:JCA2"/>
    <mergeCell ref="JCB2:JCH2"/>
    <mergeCell ref="JCI2:JCO2"/>
    <mergeCell ref="JCP2:JCV2"/>
    <mergeCell ref="JCW2:JDC2"/>
    <mergeCell ref="JDD2:JDJ2"/>
    <mergeCell ref="JDK2:JDQ2"/>
    <mergeCell ref="JDR2:JDX2"/>
    <mergeCell ref="JDY2:JEE2"/>
    <mergeCell ref="JEF2:JEL2"/>
    <mergeCell ref="JEM2:JES2"/>
    <mergeCell ref="JET2:JEZ2"/>
    <mergeCell ref="JFA2:JFG2"/>
    <mergeCell ref="JFH2:JFN2"/>
    <mergeCell ref="JFO2:JFU2"/>
    <mergeCell ref="JFV2:JGB2"/>
    <mergeCell ref="JGC2:JGI2"/>
    <mergeCell ref="JGJ2:JGP2"/>
    <mergeCell ref="JGQ2:JGW2"/>
    <mergeCell ref="JGX2:JHD2"/>
    <mergeCell ref="JHE2:JHK2"/>
    <mergeCell ref="JHL2:JHR2"/>
    <mergeCell ref="JHS2:JHY2"/>
    <mergeCell ref="JHZ2:JIF2"/>
    <mergeCell ref="JIG2:JIM2"/>
    <mergeCell ref="JIN2:JIT2"/>
    <mergeCell ref="JIU2:JJA2"/>
    <mergeCell ref="JJB2:JJH2"/>
    <mergeCell ref="JJI2:JJO2"/>
    <mergeCell ref="JJP2:JJV2"/>
    <mergeCell ref="JJW2:JKC2"/>
    <mergeCell ref="JKD2:JKJ2"/>
    <mergeCell ref="JKK2:JKQ2"/>
    <mergeCell ref="JKR2:JKX2"/>
    <mergeCell ref="JKY2:JLE2"/>
    <mergeCell ref="JLF2:JLL2"/>
    <mergeCell ref="JLM2:JLS2"/>
    <mergeCell ref="JLT2:JLZ2"/>
    <mergeCell ref="JMA2:JMG2"/>
    <mergeCell ref="JMH2:JMN2"/>
    <mergeCell ref="JMO2:JMU2"/>
    <mergeCell ref="JMV2:JNB2"/>
    <mergeCell ref="JNC2:JNI2"/>
    <mergeCell ref="JNJ2:JNP2"/>
    <mergeCell ref="JNQ2:JNW2"/>
    <mergeCell ref="JNX2:JOD2"/>
    <mergeCell ref="JOE2:JOK2"/>
    <mergeCell ref="JOL2:JOR2"/>
    <mergeCell ref="JOS2:JOY2"/>
    <mergeCell ref="JOZ2:JPF2"/>
    <mergeCell ref="JPG2:JPM2"/>
    <mergeCell ref="JPN2:JPT2"/>
    <mergeCell ref="JPU2:JQA2"/>
    <mergeCell ref="JQB2:JQH2"/>
    <mergeCell ref="JQI2:JQO2"/>
    <mergeCell ref="JQP2:JQV2"/>
    <mergeCell ref="JQW2:JRC2"/>
    <mergeCell ref="JRD2:JRJ2"/>
    <mergeCell ref="JRK2:JRQ2"/>
    <mergeCell ref="JRR2:JRX2"/>
    <mergeCell ref="JRY2:JSE2"/>
    <mergeCell ref="JSF2:JSL2"/>
    <mergeCell ref="JSM2:JSS2"/>
    <mergeCell ref="JST2:JSZ2"/>
    <mergeCell ref="JTA2:JTG2"/>
    <mergeCell ref="JTH2:JTN2"/>
    <mergeCell ref="JTO2:JTU2"/>
    <mergeCell ref="JTV2:JUB2"/>
    <mergeCell ref="JUC2:JUI2"/>
    <mergeCell ref="JUJ2:JUP2"/>
    <mergeCell ref="JUQ2:JUW2"/>
    <mergeCell ref="JUX2:JVD2"/>
    <mergeCell ref="JVE2:JVK2"/>
    <mergeCell ref="JVL2:JVR2"/>
    <mergeCell ref="JVS2:JVY2"/>
    <mergeCell ref="JVZ2:JWF2"/>
    <mergeCell ref="JWG2:JWM2"/>
    <mergeCell ref="JWN2:JWT2"/>
    <mergeCell ref="JWU2:JXA2"/>
    <mergeCell ref="JXB2:JXH2"/>
    <mergeCell ref="JXI2:JXO2"/>
    <mergeCell ref="JXP2:JXV2"/>
    <mergeCell ref="JXW2:JYC2"/>
    <mergeCell ref="JYD2:JYJ2"/>
    <mergeCell ref="JYK2:JYQ2"/>
    <mergeCell ref="JYR2:JYX2"/>
    <mergeCell ref="JYY2:JZE2"/>
    <mergeCell ref="JZF2:JZL2"/>
    <mergeCell ref="JZM2:JZS2"/>
    <mergeCell ref="JZT2:JZZ2"/>
    <mergeCell ref="KAA2:KAG2"/>
    <mergeCell ref="KAH2:KAN2"/>
    <mergeCell ref="KAO2:KAU2"/>
    <mergeCell ref="KAV2:KBB2"/>
    <mergeCell ref="KBC2:KBI2"/>
    <mergeCell ref="KBJ2:KBP2"/>
    <mergeCell ref="KBQ2:KBW2"/>
    <mergeCell ref="KBX2:KCD2"/>
    <mergeCell ref="KCE2:KCK2"/>
    <mergeCell ref="KCL2:KCR2"/>
    <mergeCell ref="KCS2:KCY2"/>
    <mergeCell ref="KCZ2:KDF2"/>
    <mergeCell ref="KDG2:KDM2"/>
    <mergeCell ref="KDN2:KDT2"/>
    <mergeCell ref="KDU2:KEA2"/>
    <mergeCell ref="KEB2:KEH2"/>
    <mergeCell ref="KEI2:KEO2"/>
    <mergeCell ref="KEP2:KEV2"/>
    <mergeCell ref="KEW2:KFC2"/>
    <mergeCell ref="KFD2:KFJ2"/>
    <mergeCell ref="KFK2:KFQ2"/>
    <mergeCell ref="KFR2:KFX2"/>
    <mergeCell ref="KFY2:KGE2"/>
    <mergeCell ref="KGF2:KGL2"/>
    <mergeCell ref="KGM2:KGS2"/>
    <mergeCell ref="KGT2:KGZ2"/>
    <mergeCell ref="KHA2:KHG2"/>
    <mergeCell ref="KHH2:KHN2"/>
    <mergeCell ref="KHO2:KHU2"/>
    <mergeCell ref="KHV2:KIB2"/>
    <mergeCell ref="KIC2:KII2"/>
    <mergeCell ref="KIJ2:KIP2"/>
    <mergeCell ref="KIQ2:KIW2"/>
    <mergeCell ref="KIX2:KJD2"/>
    <mergeCell ref="KJE2:KJK2"/>
    <mergeCell ref="KJL2:KJR2"/>
    <mergeCell ref="KJS2:KJY2"/>
    <mergeCell ref="KJZ2:KKF2"/>
    <mergeCell ref="KKG2:KKM2"/>
    <mergeCell ref="KKN2:KKT2"/>
    <mergeCell ref="KKU2:KLA2"/>
    <mergeCell ref="KLB2:KLH2"/>
    <mergeCell ref="KLI2:KLO2"/>
    <mergeCell ref="KLP2:KLV2"/>
    <mergeCell ref="KLW2:KMC2"/>
    <mergeCell ref="KMD2:KMJ2"/>
    <mergeCell ref="KMK2:KMQ2"/>
    <mergeCell ref="KMR2:KMX2"/>
    <mergeCell ref="KMY2:KNE2"/>
    <mergeCell ref="KNF2:KNL2"/>
    <mergeCell ref="KNM2:KNS2"/>
    <mergeCell ref="KNT2:KNZ2"/>
    <mergeCell ref="KOA2:KOG2"/>
    <mergeCell ref="KOH2:KON2"/>
    <mergeCell ref="KOO2:KOU2"/>
    <mergeCell ref="KOV2:KPB2"/>
    <mergeCell ref="KPC2:KPI2"/>
    <mergeCell ref="KPJ2:KPP2"/>
    <mergeCell ref="KPQ2:KPW2"/>
    <mergeCell ref="KPX2:KQD2"/>
    <mergeCell ref="KQE2:KQK2"/>
    <mergeCell ref="KQL2:KQR2"/>
    <mergeCell ref="KQS2:KQY2"/>
    <mergeCell ref="KQZ2:KRF2"/>
    <mergeCell ref="KRG2:KRM2"/>
    <mergeCell ref="KRN2:KRT2"/>
    <mergeCell ref="KRU2:KSA2"/>
    <mergeCell ref="KSB2:KSH2"/>
    <mergeCell ref="KSI2:KSO2"/>
    <mergeCell ref="KSP2:KSV2"/>
    <mergeCell ref="KSW2:KTC2"/>
    <mergeCell ref="KTD2:KTJ2"/>
    <mergeCell ref="KTK2:KTQ2"/>
    <mergeCell ref="KTR2:KTX2"/>
    <mergeCell ref="KTY2:KUE2"/>
    <mergeCell ref="KUF2:KUL2"/>
    <mergeCell ref="KUM2:KUS2"/>
    <mergeCell ref="KUT2:KUZ2"/>
    <mergeCell ref="KVA2:KVG2"/>
    <mergeCell ref="KVH2:KVN2"/>
    <mergeCell ref="KVO2:KVU2"/>
    <mergeCell ref="KVV2:KWB2"/>
    <mergeCell ref="KWC2:KWI2"/>
    <mergeCell ref="KWJ2:KWP2"/>
    <mergeCell ref="KWQ2:KWW2"/>
    <mergeCell ref="KWX2:KXD2"/>
    <mergeCell ref="KXE2:KXK2"/>
    <mergeCell ref="KXL2:KXR2"/>
    <mergeCell ref="KXS2:KXY2"/>
    <mergeCell ref="KXZ2:KYF2"/>
    <mergeCell ref="KYG2:KYM2"/>
    <mergeCell ref="KYN2:KYT2"/>
    <mergeCell ref="KYU2:KZA2"/>
    <mergeCell ref="KZB2:KZH2"/>
    <mergeCell ref="KZI2:KZO2"/>
    <mergeCell ref="KZP2:KZV2"/>
    <mergeCell ref="KZW2:LAC2"/>
    <mergeCell ref="LAD2:LAJ2"/>
    <mergeCell ref="LAK2:LAQ2"/>
    <mergeCell ref="LAR2:LAX2"/>
    <mergeCell ref="LAY2:LBE2"/>
    <mergeCell ref="LBF2:LBL2"/>
    <mergeCell ref="LBM2:LBS2"/>
    <mergeCell ref="LBT2:LBZ2"/>
    <mergeCell ref="LCA2:LCG2"/>
    <mergeCell ref="LCH2:LCN2"/>
    <mergeCell ref="LCO2:LCU2"/>
    <mergeCell ref="LCV2:LDB2"/>
    <mergeCell ref="LDC2:LDI2"/>
    <mergeCell ref="LDJ2:LDP2"/>
    <mergeCell ref="LDQ2:LDW2"/>
    <mergeCell ref="LDX2:LED2"/>
    <mergeCell ref="LEE2:LEK2"/>
    <mergeCell ref="LEL2:LER2"/>
    <mergeCell ref="LES2:LEY2"/>
    <mergeCell ref="LEZ2:LFF2"/>
    <mergeCell ref="LFG2:LFM2"/>
    <mergeCell ref="LFN2:LFT2"/>
    <mergeCell ref="LFU2:LGA2"/>
    <mergeCell ref="LGB2:LGH2"/>
    <mergeCell ref="LGI2:LGO2"/>
    <mergeCell ref="LGP2:LGV2"/>
    <mergeCell ref="LGW2:LHC2"/>
    <mergeCell ref="LHD2:LHJ2"/>
    <mergeCell ref="LHK2:LHQ2"/>
    <mergeCell ref="LHR2:LHX2"/>
    <mergeCell ref="LHY2:LIE2"/>
    <mergeCell ref="LIF2:LIL2"/>
    <mergeCell ref="LIM2:LIS2"/>
    <mergeCell ref="LIT2:LIZ2"/>
    <mergeCell ref="LJA2:LJG2"/>
    <mergeCell ref="LJH2:LJN2"/>
    <mergeCell ref="LJO2:LJU2"/>
    <mergeCell ref="LJV2:LKB2"/>
    <mergeCell ref="LKC2:LKI2"/>
    <mergeCell ref="LKJ2:LKP2"/>
    <mergeCell ref="LKQ2:LKW2"/>
    <mergeCell ref="LKX2:LLD2"/>
    <mergeCell ref="LLE2:LLK2"/>
    <mergeCell ref="LLL2:LLR2"/>
    <mergeCell ref="LLS2:LLY2"/>
    <mergeCell ref="LLZ2:LMF2"/>
    <mergeCell ref="LMG2:LMM2"/>
    <mergeCell ref="LMN2:LMT2"/>
    <mergeCell ref="LMU2:LNA2"/>
    <mergeCell ref="LNB2:LNH2"/>
    <mergeCell ref="LNI2:LNO2"/>
    <mergeCell ref="LNP2:LNV2"/>
    <mergeCell ref="LNW2:LOC2"/>
    <mergeCell ref="LOD2:LOJ2"/>
    <mergeCell ref="LOK2:LOQ2"/>
    <mergeCell ref="LOR2:LOX2"/>
    <mergeCell ref="LOY2:LPE2"/>
    <mergeCell ref="LPF2:LPL2"/>
    <mergeCell ref="LPM2:LPS2"/>
    <mergeCell ref="LPT2:LPZ2"/>
    <mergeCell ref="LQA2:LQG2"/>
    <mergeCell ref="LQH2:LQN2"/>
    <mergeCell ref="LQO2:LQU2"/>
    <mergeCell ref="LQV2:LRB2"/>
    <mergeCell ref="LRC2:LRI2"/>
    <mergeCell ref="LRJ2:LRP2"/>
    <mergeCell ref="LRQ2:LRW2"/>
    <mergeCell ref="LRX2:LSD2"/>
    <mergeCell ref="LSE2:LSK2"/>
    <mergeCell ref="LSL2:LSR2"/>
    <mergeCell ref="LSS2:LSY2"/>
    <mergeCell ref="LSZ2:LTF2"/>
    <mergeCell ref="LTG2:LTM2"/>
    <mergeCell ref="LTN2:LTT2"/>
    <mergeCell ref="LTU2:LUA2"/>
    <mergeCell ref="LUB2:LUH2"/>
    <mergeCell ref="LUI2:LUO2"/>
    <mergeCell ref="LUP2:LUV2"/>
    <mergeCell ref="LUW2:LVC2"/>
    <mergeCell ref="LVD2:LVJ2"/>
    <mergeCell ref="LVK2:LVQ2"/>
    <mergeCell ref="LVR2:LVX2"/>
    <mergeCell ref="LVY2:LWE2"/>
    <mergeCell ref="LWF2:LWL2"/>
    <mergeCell ref="LWM2:LWS2"/>
    <mergeCell ref="LWT2:LWZ2"/>
    <mergeCell ref="LXA2:LXG2"/>
    <mergeCell ref="LXH2:LXN2"/>
    <mergeCell ref="LXO2:LXU2"/>
    <mergeCell ref="LXV2:LYB2"/>
    <mergeCell ref="LYC2:LYI2"/>
    <mergeCell ref="LYJ2:LYP2"/>
    <mergeCell ref="LYQ2:LYW2"/>
    <mergeCell ref="LYX2:LZD2"/>
    <mergeCell ref="LZE2:LZK2"/>
    <mergeCell ref="LZL2:LZR2"/>
    <mergeCell ref="LZS2:LZY2"/>
    <mergeCell ref="LZZ2:MAF2"/>
    <mergeCell ref="MAG2:MAM2"/>
    <mergeCell ref="MAN2:MAT2"/>
    <mergeCell ref="MAU2:MBA2"/>
    <mergeCell ref="MBB2:MBH2"/>
    <mergeCell ref="MBI2:MBO2"/>
    <mergeCell ref="MBP2:MBV2"/>
    <mergeCell ref="MBW2:MCC2"/>
    <mergeCell ref="MCD2:MCJ2"/>
    <mergeCell ref="MCK2:MCQ2"/>
    <mergeCell ref="MCR2:MCX2"/>
    <mergeCell ref="MCY2:MDE2"/>
    <mergeCell ref="MDF2:MDL2"/>
    <mergeCell ref="MDM2:MDS2"/>
    <mergeCell ref="MDT2:MDZ2"/>
    <mergeCell ref="MEA2:MEG2"/>
    <mergeCell ref="MEH2:MEN2"/>
    <mergeCell ref="MEO2:MEU2"/>
    <mergeCell ref="MEV2:MFB2"/>
    <mergeCell ref="MFC2:MFI2"/>
    <mergeCell ref="MFJ2:MFP2"/>
    <mergeCell ref="MFQ2:MFW2"/>
    <mergeCell ref="MFX2:MGD2"/>
    <mergeCell ref="MGE2:MGK2"/>
    <mergeCell ref="MGL2:MGR2"/>
    <mergeCell ref="MGS2:MGY2"/>
    <mergeCell ref="MGZ2:MHF2"/>
    <mergeCell ref="MHG2:MHM2"/>
    <mergeCell ref="MHN2:MHT2"/>
    <mergeCell ref="MHU2:MIA2"/>
    <mergeCell ref="MIB2:MIH2"/>
    <mergeCell ref="MII2:MIO2"/>
    <mergeCell ref="MIP2:MIV2"/>
    <mergeCell ref="MIW2:MJC2"/>
    <mergeCell ref="MJD2:MJJ2"/>
    <mergeCell ref="MJK2:MJQ2"/>
    <mergeCell ref="MJR2:MJX2"/>
    <mergeCell ref="MJY2:MKE2"/>
    <mergeCell ref="MKF2:MKL2"/>
    <mergeCell ref="MKM2:MKS2"/>
    <mergeCell ref="MKT2:MKZ2"/>
    <mergeCell ref="MLA2:MLG2"/>
    <mergeCell ref="MLH2:MLN2"/>
    <mergeCell ref="MLO2:MLU2"/>
    <mergeCell ref="MLV2:MMB2"/>
    <mergeCell ref="MMC2:MMI2"/>
    <mergeCell ref="MMJ2:MMP2"/>
    <mergeCell ref="MMQ2:MMW2"/>
    <mergeCell ref="MMX2:MND2"/>
    <mergeCell ref="MNE2:MNK2"/>
    <mergeCell ref="MNL2:MNR2"/>
    <mergeCell ref="MNS2:MNY2"/>
    <mergeCell ref="MNZ2:MOF2"/>
    <mergeCell ref="MOG2:MOM2"/>
    <mergeCell ref="MON2:MOT2"/>
    <mergeCell ref="MOU2:MPA2"/>
    <mergeCell ref="MPB2:MPH2"/>
    <mergeCell ref="MPI2:MPO2"/>
    <mergeCell ref="MPP2:MPV2"/>
    <mergeCell ref="MPW2:MQC2"/>
    <mergeCell ref="MQD2:MQJ2"/>
    <mergeCell ref="MQK2:MQQ2"/>
    <mergeCell ref="MQR2:MQX2"/>
    <mergeCell ref="MQY2:MRE2"/>
    <mergeCell ref="MRF2:MRL2"/>
    <mergeCell ref="MRM2:MRS2"/>
    <mergeCell ref="MRT2:MRZ2"/>
    <mergeCell ref="MSA2:MSG2"/>
    <mergeCell ref="MSH2:MSN2"/>
    <mergeCell ref="MSO2:MSU2"/>
    <mergeCell ref="MSV2:MTB2"/>
    <mergeCell ref="MTC2:MTI2"/>
    <mergeCell ref="MTJ2:MTP2"/>
    <mergeCell ref="MTQ2:MTW2"/>
    <mergeCell ref="MTX2:MUD2"/>
    <mergeCell ref="MUE2:MUK2"/>
    <mergeCell ref="MUL2:MUR2"/>
    <mergeCell ref="MUS2:MUY2"/>
    <mergeCell ref="MUZ2:MVF2"/>
    <mergeCell ref="MVG2:MVM2"/>
    <mergeCell ref="MVN2:MVT2"/>
    <mergeCell ref="MVU2:MWA2"/>
    <mergeCell ref="MWB2:MWH2"/>
    <mergeCell ref="MWI2:MWO2"/>
    <mergeCell ref="MWP2:MWV2"/>
    <mergeCell ref="MWW2:MXC2"/>
    <mergeCell ref="MXD2:MXJ2"/>
    <mergeCell ref="MXK2:MXQ2"/>
    <mergeCell ref="MXR2:MXX2"/>
    <mergeCell ref="MXY2:MYE2"/>
    <mergeCell ref="MYF2:MYL2"/>
    <mergeCell ref="MYM2:MYS2"/>
    <mergeCell ref="MYT2:MYZ2"/>
    <mergeCell ref="MZA2:MZG2"/>
    <mergeCell ref="MZH2:MZN2"/>
    <mergeCell ref="MZO2:MZU2"/>
    <mergeCell ref="MZV2:NAB2"/>
    <mergeCell ref="NAC2:NAI2"/>
    <mergeCell ref="NAJ2:NAP2"/>
    <mergeCell ref="NAQ2:NAW2"/>
    <mergeCell ref="NAX2:NBD2"/>
    <mergeCell ref="NBE2:NBK2"/>
    <mergeCell ref="NBL2:NBR2"/>
    <mergeCell ref="NBS2:NBY2"/>
    <mergeCell ref="NBZ2:NCF2"/>
    <mergeCell ref="NCG2:NCM2"/>
    <mergeCell ref="NCN2:NCT2"/>
    <mergeCell ref="NCU2:NDA2"/>
    <mergeCell ref="NDB2:NDH2"/>
    <mergeCell ref="NDI2:NDO2"/>
    <mergeCell ref="NDP2:NDV2"/>
    <mergeCell ref="NDW2:NEC2"/>
    <mergeCell ref="NED2:NEJ2"/>
    <mergeCell ref="NEK2:NEQ2"/>
    <mergeCell ref="NER2:NEX2"/>
    <mergeCell ref="NEY2:NFE2"/>
    <mergeCell ref="NFF2:NFL2"/>
    <mergeCell ref="NFM2:NFS2"/>
    <mergeCell ref="NFT2:NFZ2"/>
    <mergeCell ref="NGA2:NGG2"/>
    <mergeCell ref="NGH2:NGN2"/>
    <mergeCell ref="NGO2:NGU2"/>
    <mergeCell ref="NGV2:NHB2"/>
    <mergeCell ref="NHC2:NHI2"/>
    <mergeCell ref="NHJ2:NHP2"/>
    <mergeCell ref="NHQ2:NHW2"/>
    <mergeCell ref="NHX2:NID2"/>
    <mergeCell ref="NIE2:NIK2"/>
    <mergeCell ref="NIL2:NIR2"/>
    <mergeCell ref="NIS2:NIY2"/>
    <mergeCell ref="NIZ2:NJF2"/>
    <mergeCell ref="NJG2:NJM2"/>
    <mergeCell ref="NJN2:NJT2"/>
    <mergeCell ref="NJU2:NKA2"/>
    <mergeCell ref="NKB2:NKH2"/>
    <mergeCell ref="NKI2:NKO2"/>
    <mergeCell ref="NKP2:NKV2"/>
    <mergeCell ref="NKW2:NLC2"/>
    <mergeCell ref="NLD2:NLJ2"/>
    <mergeCell ref="NLK2:NLQ2"/>
    <mergeCell ref="NLR2:NLX2"/>
    <mergeCell ref="NLY2:NME2"/>
    <mergeCell ref="NMF2:NML2"/>
    <mergeCell ref="NMM2:NMS2"/>
    <mergeCell ref="NMT2:NMZ2"/>
    <mergeCell ref="NNA2:NNG2"/>
    <mergeCell ref="NNH2:NNN2"/>
    <mergeCell ref="NNO2:NNU2"/>
    <mergeCell ref="NNV2:NOB2"/>
    <mergeCell ref="NOC2:NOI2"/>
    <mergeCell ref="NOJ2:NOP2"/>
    <mergeCell ref="NOQ2:NOW2"/>
    <mergeCell ref="NOX2:NPD2"/>
    <mergeCell ref="NPE2:NPK2"/>
    <mergeCell ref="NPL2:NPR2"/>
    <mergeCell ref="NPS2:NPY2"/>
    <mergeCell ref="NPZ2:NQF2"/>
    <mergeCell ref="NQG2:NQM2"/>
    <mergeCell ref="NQN2:NQT2"/>
    <mergeCell ref="NQU2:NRA2"/>
    <mergeCell ref="NRB2:NRH2"/>
    <mergeCell ref="NRI2:NRO2"/>
    <mergeCell ref="NRP2:NRV2"/>
    <mergeCell ref="NRW2:NSC2"/>
    <mergeCell ref="NSD2:NSJ2"/>
    <mergeCell ref="NSK2:NSQ2"/>
    <mergeCell ref="NSR2:NSX2"/>
    <mergeCell ref="NSY2:NTE2"/>
    <mergeCell ref="NTF2:NTL2"/>
    <mergeCell ref="NTM2:NTS2"/>
    <mergeCell ref="NTT2:NTZ2"/>
    <mergeCell ref="NUA2:NUG2"/>
    <mergeCell ref="NUH2:NUN2"/>
    <mergeCell ref="NUO2:NUU2"/>
    <mergeCell ref="NUV2:NVB2"/>
    <mergeCell ref="NVC2:NVI2"/>
    <mergeCell ref="NVJ2:NVP2"/>
    <mergeCell ref="NVQ2:NVW2"/>
    <mergeCell ref="NVX2:NWD2"/>
    <mergeCell ref="NWE2:NWK2"/>
    <mergeCell ref="NWL2:NWR2"/>
    <mergeCell ref="NWS2:NWY2"/>
    <mergeCell ref="NWZ2:NXF2"/>
    <mergeCell ref="NXG2:NXM2"/>
    <mergeCell ref="NXN2:NXT2"/>
    <mergeCell ref="NXU2:NYA2"/>
    <mergeCell ref="NYB2:NYH2"/>
    <mergeCell ref="NYI2:NYO2"/>
    <mergeCell ref="NYP2:NYV2"/>
    <mergeCell ref="NYW2:NZC2"/>
    <mergeCell ref="NZD2:NZJ2"/>
    <mergeCell ref="NZK2:NZQ2"/>
    <mergeCell ref="NZR2:NZX2"/>
    <mergeCell ref="NZY2:OAE2"/>
    <mergeCell ref="OAF2:OAL2"/>
    <mergeCell ref="OAM2:OAS2"/>
    <mergeCell ref="OAT2:OAZ2"/>
    <mergeCell ref="OBA2:OBG2"/>
    <mergeCell ref="OBH2:OBN2"/>
    <mergeCell ref="OBO2:OBU2"/>
    <mergeCell ref="OBV2:OCB2"/>
    <mergeCell ref="OCC2:OCI2"/>
    <mergeCell ref="OCJ2:OCP2"/>
    <mergeCell ref="OCQ2:OCW2"/>
    <mergeCell ref="OCX2:ODD2"/>
    <mergeCell ref="ODE2:ODK2"/>
    <mergeCell ref="ODL2:ODR2"/>
    <mergeCell ref="ODS2:ODY2"/>
    <mergeCell ref="ODZ2:OEF2"/>
    <mergeCell ref="OEG2:OEM2"/>
    <mergeCell ref="OEN2:OET2"/>
    <mergeCell ref="OEU2:OFA2"/>
    <mergeCell ref="OFB2:OFH2"/>
    <mergeCell ref="OFI2:OFO2"/>
    <mergeCell ref="OFP2:OFV2"/>
    <mergeCell ref="OFW2:OGC2"/>
    <mergeCell ref="OGD2:OGJ2"/>
    <mergeCell ref="OGK2:OGQ2"/>
    <mergeCell ref="OGR2:OGX2"/>
    <mergeCell ref="OGY2:OHE2"/>
    <mergeCell ref="OHF2:OHL2"/>
    <mergeCell ref="OHM2:OHS2"/>
    <mergeCell ref="OHT2:OHZ2"/>
    <mergeCell ref="OIA2:OIG2"/>
    <mergeCell ref="OIH2:OIN2"/>
    <mergeCell ref="OIO2:OIU2"/>
    <mergeCell ref="OIV2:OJB2"/>
    <mergeCell ref="OJC2:OJI2"/>
    <mergeCell ref="OJJ2:OJP2"/>
    <mergeCell ref="OJQ2:OJW2"/>
    <mergeCell ref="OJX2:OKD2"/>
    <mergeCell ref="OKE2:OKK2"/>
    <mergeCell ref="OKL2:OKR2"/>
    <mergeCell ref="OKS2:OKY2"/>
    <mergeCell ref="OKZ2:OLF2"/>
    <mergeCell ref="OLG2:OLM2"/>
    <mergeCell ref="OLN2:OLT2"/>
    <mergeCell ref="OLU2:OMA2"/>
    <mergeCell ref="OMB2:OMH2"/>
    <mergeCell ref="OMI2:OMO2"/>
    <mergeCell ref="OMP2:OMV2"/>
    <mergeCell ref="OMW2:ONC2"/>
    <mergeCell ref="OND2:ONJ2"/>
    <mergeCell ref="ONK2:ONQ2"/>
    <mergeCell ref="ONR2:ONX2"/>
    <mergeCell ref="ONY2:OOE2"/>
    <mergeCell ref="OOF2:OOL2"/>
    <mergeCell ref="OOM2:OOS2"/>
    <mergeCell ref="OOT2:OOZ2"/>
    <mergeCell ref="OPA2:OPG2"/>
    <mergeCell ref="OPH2:OPN2"/>
    <mergeCell ref="OPO2:OPU2"/>
    <mergeCell ref="OPV2:OQB2"/>
    <mergeCell ref="OQC2:OQI2"/>
    <mergeCell ref="OQJ2:OQP2"/>
    <mergeCell ref="OQQ2:OQW2"/>
    <mergeCell ref="OQX2:ORD2"/>
    <mergeCell ref="ORE2:ORK2"/>
    <mergeCell ref="ORL2:ORR2"/>
    <mergeCell ref="ORS2:ORY2"/>
    <mergeCell ref="ORZ2:OSF2"/>
    <mergeCell ref="OSG2:OSM2"/>
    <mergeCell ref="OSN2:OST2"/>
    <mergeCell ref="OSU2:OTA2"/>
    <mergeCell ref="OTB2:OTH2"/>
    <mergeCell ref="OTI2:OTO2"/>
    <mergeCell ref="OTP2:OTV2"/>
    <mergeCell ref="OTW2:OUC2"/>
    <mergeCell ref="OUD2:OUJ2"/>
    <mergeCell ref="OUK2:OUQ2"/>
    <mergeCell ref="OUR2:OUX2"/>
    <mergeCell ref="OUY2:OVE2"/>
    <mergeCell ref="OVF2:OVL2"/>
    <mergeCell ref="OVM2:OVS2"/>
    <mergeCell ref="OVT2:OVZ2"/>
    <mergeCell ref="OWA2:OWG2"/>
    <mergeCell ref="OWH2:OWN2"/>
    <mergeCell ref="OWO2:OWU2"/>
    <mergeCell ref="OWV2:OXB2"/>
    <mergeCell ref="OXC2:OXI2"/>
    <mergeCell ref="OXJ2:OXP2"/>
    <mergeCell ref="OXQ2:OXW2"/>
    <mergeCell ref="OXX2:OYD2"/>
    <mergeCell ref="OYE2:OYK2"/>
    <mergeCell ref="OYL2:OYR2"/>
    <mergeCell ref="OYS2:OYY2"/>
    <mergeCell ref="OYZ2:OZF2"/>
    <mergeCell ref="OZG2:OZM2"/>
    <mergeCell ref="OZN2:OZT2"/>
    <mergeCell ref="OZU2:PAA2"/>
    <mergeCell ref="PAB2:PAH2"/>
    <mergeCell ref="PAI2:PAO2"/>
    <mergeCell ref="PAP2:PAV2"/>
    <mergeCell ref="PAW2:PBC2"/>
    <mergeCell ref="PBD2:PBJ2"/>
    <mergeCell ref="PBK2:PBQ2"/>
    <mergeCell ref="PBR2:PBX2"/>
    <mergeCell ref="PBY2:PCE2"/>
    <mergeCell ref="PCF2:PCL2"/>
    <mergeCell ref="PCM2:PCS2"/>
    <mergeCell ref="PCT2:PCZ2"/>
    <mergeCell ref="PDA2:PDG2"/>
    <mergeCell ref="PDH2:PDN2"/>
    <mergeCell ref="PDO2:PDU2"/>
    <mergeCell ref="PDV2:PEB2"/>
    <mergeCell ref="PEC2:PEI2"/>
    <mergeCell ref="PEJ2:PEP2"/>
    <mergeCell ref="PEQ2:PEW2"/>
    <mergeCell ref="PEX2:PFD2"/>
    <mergeCell ref="PFE2:PFK2"/>
    <mergeCell ref="PFL2:PFR2"/>
    <mergeCell ref="PFS2:PFY2"/>
    <mergeCell ref="PFZ2:PGF2"/>
    <mergeCell ref="PGG2:PGM2"/>
    <mergeCell ref="PGN2:PGT2"/>
    <mergeCell ref="PGU2:PHA2"/>
    <mergeCell ref="PHB2:PHH2"/>
    <mergeCell ref="PHI2:PHO2"/>
    <mergeCell ref="PHP2:PHV2"/>
    <mergeCell ref="PHW2:PIC2"/>
    <mergeCell ref="PID2:PIJ2"/>
    <mergeCell ref="PIK2:PIQ2"/>
    <mergeCell ref="PIR2:PIX2"/>
    <mergeCell ref="PIY2:PJE2"/>
    <mergeCell ref="PJF2:PJL2"/>
    <mergeCell ref="PJM2:PJS2"/>
    <mergeCell ref="PJT2:PJZ2"/>
    <mergeCell ref="PKA2:PKG2"/>
    <mergeCell ref="PKH2:PKN2"/>
    <mergeCell ref="PKO2:PKU2"/>
    <mergeCell ref="PKV2:PLB2"/>
    <mergeCell ref="PLC2:PLI2"/>
    <mergeCell ref="PLJ2:PLP2"/>
    <mergeCell ref="PLQ2:PLW2"/>
    <mergeCell ref="PLX2:PMD2"/>
    <mergeCell ref="PME2:PMK2"/>
    <mergeCell ref="PML2:PMR2"/>
    <mergeCell ref="PMS2:PMY2"/>
    <mergeCell ref="PMZ2:PNF2"/>
    <mergeCell ref="PNG2:PNM2"/>
    <mergeCell ref="PNN2:PNT2"/>
    <mergeCell ref="PNU2:POA2"/>
    <mergeCell ref="POB2:POH2"/>
    <mergeCell ref="POI2:POO2"/>
    <mergeCell ref="POP2:POV2"/>
    <mergeCell ref="POW2:PPC2"/>
    <mergeCell ref="PPD2:PPJ2"/>
    <mergeCell ref="PPK2:PPQ2"/>
    <mergeCell ref="PPR2:PPX2"/>
    <mergeCell ref="PPY2:PQE2"/>
    <mergeCell ref="PQF2:PQL2"/>
    <mergeCell ref="PQM2:PQS2"/>
    <mergeCell ref="PQT2:PQZ2"/>
    <mergeCell ref="PRA2:PRG2"/>
    <mergeCell ref="PRH2:PRN2"/>
    <mergeCell ref="PRO2:PRU2"/>
    <mergeCell ref="PRV2:PSB2"/>
    <mergeCell ref="PSC2:PSI2"/>
    <mergeCell ref="PSJ2:PSP2"/>
    <mergeCell ref="PSQ2:PSW2"/>
    <mergeCell ref="PSX2:PTD2"/>
    <mergeCell ref="PTE2:PTK2"/>
    <mergeCell ref="PTL2:PTR2"/>
    <mergeCell ref="PTS2:PTY2"/>
    <mergeCell ref="PTZ2:PUF2"/>
    <mergeCell ref="PUG2:PUM2"/>
    <mergeCell ref="PUN2:PUT2"/>
    <mergeCell ref="PUU2:PVA2"/>
    <mergeCell ref="PVB2:PVH2"/>
    <mergeCell ref="PVI2:PVO2"/>
    <mergeCell ref="PVP2:PVV2"/>
    <mergeCell ref="PVW2:PWC2"/>
    <mergeCell ref="PWD2:PWJ2"/>
    <mergeCell ref="PWK2:PWQ2"/>
    <mergeCell ref="PWR2:PWX2"/>
    <mergeCell ref="PWY2:PXE2"/>
    <mergeCell ref="PXF2:PXL2"/>
    <mergeCell ref="PXM2:PXS2"/>
    <mergeCell ref="PXT2:PXZ2"/>
    <mergeCell ref="PYA2:PYG2"/>
    <mergeCell ref="PYH2:PYN2"/>
    <mergeCell ref="PYO2:PYU2"/>
    <mergeCell ref="PYV2:PZB2"/>
    <mergeCell ref="PZC2:PZI2"/>
    <mergeCell ref="PZJ2:PZP2"/>
    <mergeCell ref="PZQ2:PZW2"/>
    <mergeCell ref="PZX2:QAD2"/>
    <mergeCell ref="QAE2:QAK2"/>
    <mergeCell ref="QAL2:QAR2"/>
    <mergeCell ref="QAS2:QAY2"/>
    <mergeCell ref="QAZ2:QBF2"/>
    <mergeCell ref="QBG2:QBM2"/>
    <mergeCell ref="QBN2:QBT2"/>
    <mergeCell ref="QBU2:QCA2"/>
    <mergeCell ref="QCB2:QCH2"/>
    <mergeCell ref="QCI2:QCO2"/>
    <mergeCell ref="QCP2:QCV2"/>
    <mergeCell ref="QCW2:QDC2"/>
    <mergeCell ref="QDD2:QDJ2"/>
    <mergeCell ref="QDK2:QDQ2"/>
    <mergeCell ref="QDR2:QDX2"/>
    <mergeCell ref="QDY2:QEE2"/>
    <mergeCell ref="QEF2:QEL2"/>
    <mergeCell ref="QEM2:QES2"/>
    <mergeCell ref="QET2:QEZ2"/>
    <mergeCell ref="QFA2:QFG2"/>
    <mergeCell ref="QFH2:QFN2"/>
    <mergeCell ref="QFO2:QFU2"/>
    <mergeCell ref="QFV2:QGB2"/>
    <mergeCell ref="QGC2:QGI2"/>
    <mergeCell ref="QGJ2:QGP2"/>
    <mergeCell ref="QGQ2:QGW2"/>
    <mergeCell ref="QGX2:QHD2"/>
    <mergeCell ref="QHE2:QHK2"/>
    <mergeCell ref="QHL2:QHR2"/>
    <mergeCell ref="QHS2:QHY2"/>
    <mergeCell ref="QHZ2:QIF2"/>
    <mergeCell ref="QIG2:QIM2"/>
    <mergeCell ref="QIN2:QIT2"/>
    <mergeCell ref="QIU2:QJA2"/>
    <mergeCell ref="QJB2:QJH2"/>
    <mergeCell ref="QJI2:QJO2"/>
    <mergeCell ref="QJP2:QJV2"/>
    <mergeCell ref="QJW2:QKC2"/>
    <mergeCell ref="QKD2:QKJ2"/>
    <mergeCell ref="QKK2:QKQ2"/>
    <mergeCell ref="QKR2:QKX2"/>
    <mergeCell ref="QKY2:QLE2"/>
    <mergeCell ref="QLF2:QLL2"/>
    <mergeCell ref="QLM2:QLS2"/>
    <mergeCell ref="QLT2:QLZ2"/>
    <mergeCell ref="QMA2:QMG2"/>
    <mergeCell ref="QMH2:QMN2"/>
    <mergeCell ref="QMO2:QMU2"/>
    <mergeCell ref="QMV2:QNB2"/>
    <mergeCell ref="QNC2:QNI2"/>
    <mergeCell ref="QNJ2:QNP2"/>
    <mergeCell ref="QNQ2:QNW2"/>
    <mergeCell ref="QNX2:QOD2"/>
    <mergeCell ref="QOE2:QOK2"/>
    <mergeCell ref="QOL2:QOR2"/>
    <mergeCell ref="QOS2:QOY2"/>
    <mergeCell ref="QOZ2:QPF2"/>
    <mergeCell ref="QPG2:QPM2"/>
    <mergeCell ref="QPN2:QPT2"/>
    <mergeCell ref="QPU2:QQA2"/>
    <mergeCell ref="QQB2:QQH2"/>
    <mergeCell ref="QQI2:QQO2"/>
    <mergeCell ref="QQP2:QQV2"/>
    <mergeCell ref="QQW2:QRC2"/>
    <mergeCell ref="QRD2:QRJ2"/>
    <mergeCell ref="QRK2:QRQ2"/>
    <mergeCell ref="QRR2:QRX2"/>
    <mergeCell ref="QRY2:QSE2"/>
    <mergeCell ref="QSF2:QSL2"/>
    <mergeCell ref="QSM2:QSS2"/>
    <mergeCell ref="QST2:QSZ2"/>
    <mergeCell ref="QTA2:QTG2"/>
    <mergeCell ref="QTH2:QTN2"/>
    <mergeCell ref="QTO2:QTU2"/>
    <mergeCell ref="QTV2:QUB2"/>
    <mergeCell ref="QUC2:QUI2"/>
    <mergeCell ref="QUJ2:QUP2"/>
    <mergeCell ref="QUQ2:QUW2"/>
    <mergeCell ref="QUX2:QVD2"/>
    <mergeCell ref="QVE2:QVK2"/>
    <mergeCell ref="QVL2:QVR2"/>
    <mergeCell ref="QVS2:QVY2"/>
    <mergeCell ref="QVZ2:QWF2"/>
    <mergeCell ref="QWG2:QWM2"/>
    <mergeCell ref="QWN2:QWT2"/>
    <mergeCell ref="QWU2:QXA2"/>
    <mergeCell ref="QXB2:QXH2"/>
    <mergeCell ref="QXI2:QXO2"/>
    <mergeCell ref="QXP2:QXV2"/>
    <mergeCell ref="QXW2:QYC2"/>
    <mergeCell ref="QYD2:QYJ2"/>
    <mergeCell ref="QYK2:QYQ2"/>
    <mergeCell ref="QYR2:QYX2"/>
    <mergeCell ref="QYY2:QZE2"/>
    <mergeCell ref="QZF2:QZL2"/>
    <mergeCell ref="QZM2:QZS2"/>
    <mergeCell ref="QZT2:QZZ2"/>
    <mergeCell ref="RAA2:RAG2"/>
    <mergeCell ref="RAH2:RAN2"/>
    <mergeCell ref="RAO2:RAU2"/>
    <mergeCell ref="RAV2:RBB2"/>
    <mergeCell ref="RBC2:RBI2"/>
    <mergeCell ref="RBJ2:RBP2"/>
    <mergeCell ref="RBQ2:RBW2"/>
    <mergeCell ref="RBX2:RCD2"/>
    <mergeCell ref="RCE2:RCK2"/>
    <mergeCell ref="RCL2:RCR2"/>
    <mergeCell ref="RCS2:RCY2"/>
    <mergeCell ref="RCZ2:RDF2"/>
    <mergeCell ref="RDG2:RDM2"/>
    <mergeCell ref="RDN2:RDT2"/>
    <mergeCell ref="RDU2:REA2"/>
    <mergeCell ref="REB2:REH2"/>
    <mergeCell ref="REI2:REO2"/>
    <mergeCell ref="REP2:REV2"/>
    <mergeCell ref="REW2:RFC2"/>
    <mergeCell ref="RFD2:RFJ2"/>
    <mergeCell ref="RFK2:RFQ2"/>
    <mergeCell ref="RFR2:RFX2"/>
    <mergeCell ref="RFY2:RGE2"/>
    <mergeCell ref="RGF2:RGL2"/>
    <mergeCell ref="RGM2:RGS2"/>
    <mergeCell ref="RGT2:RGZ2"/>
    <mergeCell ref="RHA2:RHG2"/>
    <mergeCell ref="RHH2:RHN2"/>
    <mergeCell ref="RHO2:RHU2"/>
    <mergeCell ref="RHV2:RIB2"/>
    <mergeCell ref="RIC2:RII2"/>
    <mergeCell ref="RIJ2:RIP2"/>
    <mergeCell ref="RIQ2:RIW2"/>
    <mergeCell ref="RIX2:RJD2"/>
    <mergeCell ref="RJE2:RJK2"/>
    <mergeCell ref="RJL2:RJR2"/>
    <mergeCell ref="RJS2:RJY2"/>
    <mergeCell ref="RJZ2:RKF2"/>
    <mergeCell ref="RKG2:RKM2"/>
    <mergeCell ref="RKN2:RKT2"/>
    <mergeCell ref="RKU2:RLA2"/>
    <mergeCell ref="RLB2:RLH2"/>
    <mergeCell ref="RLI2:RLO2"/>
    <mergeCell ref="RLP2:RLV2"/>
    <mergeCell ref="RLW2:RMC2"/>
    <mergeCell ref="RMD2:RMJ2"/>
    <mergeCell ref="RMK2:RMQ2"/>
    <mergeCell ref="RMR2:RMX2"/>
    <mergeCell ref="RMY2:RNE2"/>
    <mergeCell ref="RNF2:RNL2"/>
    <mergeCell ref="RNM2:RNS2"/>
    <mergeCell ref="RNT2:RNZ2"/>
    <mergeCell ref="ROA2:ROG2"/>
    <mergeCell ref="ROH2:RON2"/>
    <mergeCell ref="ROO2:ROU2"/>
    <mergeCell ref="ROV2:RPB2"/>
    <mergeCell ref="RPC2:RPI2"/>
    <mergeCell ref="RPJ2:RPP2"/>
    <mergeCell ref="RPQ2:RPW2"/>
    <mergeCell ref="RPX2:RQD2"/>
    <mergeCell ref="RQE2:RQK2"/>
    <mergeCell ref="RQL2:RQR2"/>
    <mergeCell ref="RQS2:RQY2"/>
    <mergeCell ref="RQZ2:RRF2"/>
    <mergeCell ref="RRG2:RRM2"/>
    <mergeCell ref="RRN2:RRT2"/>
    <mergeCell ref="RRU2:RSA2"/>
    <mergeCell ref="RSB2:RSH2"/>
    <mergeCell ref="RSI2:RSO2"/>
    <mergeCell ref="RSP2:RSV2"/>
    <mergeCell ref="RSW2:RTC2"/>
    <mergeCell ref="RTD2:RTJ2"/>
    <mergeCell ref="RTK2:RTQ2"/>
    <mergeCell ref="RTR2:RTX2"/>
    <mergeCell ref="RTY2:RUE2"/>
    <mergeCell ref="RUF2:RUL2"/>
    <mergeCell ref="RUM2:RUS2"/>
    <mergeCell ref="RUT2:RUZ2"/>
    <mergeCell ref="RVA2:RVG2"/>
    <mergeCell ref="RVH2:RVN2"/>
    <mergeCell ref="RVO2:RVU2"/>
    <mergeCell ref="RVV2:RWB2"/>
    <mergeCell ref="RWC2:RWI2"/>
    <mergeCell ref="RWJ2:RWP2"/>
    <mergeCell ref="RWQ2:RWW2"/>
    <mergeCell ref="RWX2:RXD2"/>
    <mergeCell ref="RXE2:RXK2"/>
    <mergeCell ref="RXL2:RXR2"/>
    <mergeCell ref="RXS2:RXY2"/>
    <mergeCell ref="RXZ2:RYF2"/>
    <mergeCell ref="RYG2:RYM2"/>
    <mergeCell ref="RYN2:RYT2"/>
    <mergeCell ref="RYU2:RZA2"/>
    <mergeCell ref="RZB2:RZH2"/>
    <mergeCell ref="RZI2:RZO2"/>
    <mergeCell ref="RZP2:RZV2"/>
    <mergeCell ref="RZW2:SAC2"/>
    <mergeCell ref="SAD2:SAJ2"/>
    <mergeCell ref="SAK2:SAQ2"/>
    <mergeCell ref="SAR2:SAX2"/>
    <mergeCell ref="SAY2:SBE2"/>
    <mergeCell ref="SBF2:SBL2"/>
    <mergeCell ref="SBM2:SBS2"/>
    <mergeCell ref="SBT2:SBZ2"/>
    <mergeCell ref="SCA2:SCG2"/>
    <mergeCell ref="SCH2:SCN2"/>
    <mergeCell ref="SCO2:SCU2"/>
    <mergeCell ref="SCV2:SDB2"/>
    <mergeCell ref="SDC2:SDI2"/>
    <mergeCell ref="SDJ2:SDP2"/>
    <mergeCell ref="SDQ2:SDW2"/>
    <mergeCell ref="SDX2:SED2"/>
    <mergeCell ref="SEE2:SEK2"/>
    <mergeCell ref="SEL2:SER2"/>
    <mergeCell ref="SES2:SEY2"/>
    <mergeCell ref="SEZ2:SFF2"/>
    <mergeCell ref="SFG2:SFM2"/>
    <mergeCell ref="SFN2:SFT2"/>
    <mergeCell ref="SFU2:SGA2"/>
    <mergeCell ref="SGB2:SGH2"/>
    <mergeCell ref="SGI2:SGO2"/>
    <mergeCell ref="SGP2:SGV2"/>
    <mergeCell ref="SGW2:SHC2"/>
    <mergeCell ref="SHD2:SHJ2"/>
    <mergeCell ref="SHK2:SHQ2"/>
    <mergeCell ref="SHR2:SHX2"/>
    <mergeCell ref="SHY2:SIE2"/>
    <mergeCell ref="SIF2:SIL2"/>
    <mergeCell ref="SIM2:SIS2"/>
    <mergeCell ref="SIT2:SIZ2"/>
    <mergeCell ref="SJA2:SJG2"/>
    <mergeCell ref="SJH2:SJN2"/>
    <mergeCell ref="SJO2:SJU2"/>
    <mergeCell ref="SJV2:SKB2"/>
    <mergeCell ref="SKC2:SKI2"/>
    <mergeCell ref="SKJ2:SKP2"/>
    <mergeCell ref="SKQ2:SKW2"/>
    <mergeCell ref="SKX2:SLD2"/>
    <mergeCell ref="SLE2:SLK2"/>
    <mergeCell ref="SLL2:SLR2"/>
    <mergeCell ref="SLS2:SLY2"/>
    <mergeCell ref="SLZ2:SMF2"/>
    <mergeCell ref="SMG2:SMM2"/>
    <mergeCell ref="SMN2:SMT2"/>
    <mergeCell ref="SMU2:SNA2"/>
    <mergeCell ref="SNB2:SNH2"/>
    <mergeCell ref="SNI2:SNO2"/>
    <mergeCell ref="SNP2:SNV2"/>
    <mergeCell ref="SNW2:SOC2"/>
    <mergeCell ref="SOD2:SOJ2"/>
    <mergeCell ref="SOK2:SOQ2"/>
    <mergeCell ref="SOR2:SOX2"/>
    <mergeCell ref="SOY2:SPE2"/>
    <mergeCell ref="SPF2:SPL2"/>
    <mergeCell ref="SPM2:SPS2"/>
    <mergeCell ref="SPT2:SPZ2"/>
    <mergeCell ref="SQA2:SQG2"/>
    <mergeCell ref="SQH2:SQN2"/>
    <mergeCell ref="SQO2:SQU2"/>
    <mergeCell ref="SQV2:SRB2"/>
    <mergeCell ref="SRC2:SRI2"/>
    <mergeCell ref="SRJ2:SRP2"/>
    <mergeCell ref="SRQ2:SRW2"/>
    <mergeCell ref="SRX2:SSD2"/>
    <mergeCell ref="SSE2:SSK2"/>
    <mergeCell ref="SSL2:SSR2"/>
    <mergeCell ref="SSS2:SSY2"/>
    <mergeCell ref="SSZ2:STF2"/>
    <mergeCell ref="STG2:STM2"/>
    <mergeCell ref="STN2:STT2"/>
    <mergeCell ref="STU2:SUA2"/>
    <mergeCell ref="SUB2:SUH2"/>
    <mergeCell ref="SUI2:SUO2"/>
    <mergeCell ref="SUP2:SUV2"/>
    <mergeCell ref="SUW2:SVC2"/>
    <mergeCell ref="SVD2:SVJ2"/>
    <mergeCell ref="SVK2:SVQ2"/>
    <mergeCell ref="SVR2:SVX2"/>
    <mergeCell ref="SVY2:SWE2"/>
    <mergeCell ref="SWF2:SWL2"/>
    <mergeCell ref="SWM2:SWS2"/>
    <mergeCell ref="SWT2:SWZ2"/>
    <mergeCell ref="SXA2:SXG2"/>
    <mergeCell ref="SXH2:SXN2"/>
    <mergeCell ref="SXO2:SXU2"/>
    <mergeCell ref="SXV2:SYB2"/>
    <mergeCell ref="SYC2:SYI2"/>
    <mergeCell ref="SYJ2:SYP2"/>
    <mergeCell ref="SYQ2:SYW2"/>
    <mergeCell ref="SYX2:SZD2"/>
    <mergeCell ref="SZE2:SZK2"/>
    <mergeCell ref="SZL2:SZR2"/>
    <mergeCell ref="SZS2:SZY2"/>
    <mergeCell ref="SZZ2:TAF2"/>
    <mergeCell ref="TAG2:TAM2"/>
    <mergeCell ref="TAN2:TAT2"/>
    <mergeCell ref="TAU2:TBA2"/>
    <mergeCell ref="TBB2:TBH2"/>
    <mergeCell ref="TBI2:TBO2"/>
    <mergeCell ref="TBP2:TBV2"/>
    <mergeCell ref="TBW2:TCC2"/>
    <mergeCell ref="TCD2:TCJ2"/>
    <mergeCell ref="TCK2:TCQ2"/>
    <mergeCell ref="TCR2:TCX2"/>
    <mergeCell ref="TCY2:TDE2"/>
    <mergeCell ref="TDF2:TDL2"/>
    <mergeCell ref="TDM2:TDS2"/>
    <mergeCell ref="TDT2:TDZ2"/>
    <mergeCell ref="TEA2:TEG2"/>
    <mergeCell ref="TEH2:TEN2"/>
    <mergeCell ref="TEO2:TEU2"/>
    <mergeCell ref="TEV2:TFB2"/>
    <mergeCell ref="TFC2:TFI2"/>
    <mergeCell ref="TFJ2:TFP2"/>
    <mergeCell ref="TFQ2:TFW2"/>
    <mergeCell ref="TFX2:TGD2"/>
    <mergeCell ref="TGE2:TGK2"/>
    <mergeCell ref="TGL2:TGR2"/>
    <mergeCell ref="TGS2:TGY2"/>
    <mergeCell ref="TGZ2:THF2"/>
    <mergeCell ref="THG2:THM2"/>
    <mergeCell ref="THN2:THT2"/>
    <mergeCell ref="THU2:TIA2"/>
    <mergeCell ref="TIB2:TIH2"/>
    <mergeCell ref="TII2:TIO2"/>
    <mergeCell ref="TIP2:TIV2"/>
    <mergeCell ref="TIW2:TJC2"/>
    <mergeCell ref="TJD2:TJJ2"/>
    <mergeCell ref="TJK2:TJQ2"/>
    <mergeCell ref="TJR2:TJX2"/>
    <mergeCell ref="TJY2:TKE2"/>
    <mergeCell ref="TKF2:TKL2"/>
    <mergeCell ref="TKM2:TKS2"/>
    <mergeCell ref="TKT2:TKZ2"/>
    <mergeCell ref="TLA2:TLG2"/>
    <mergeCell ref="TLH2:TLN2"/>
    <mergeCell ref="TLO2:TLU2"/>
    <mergeCell ref="TLV2:TMB2"/>
    <mergeCell ref="TMC2:TMI2"/>
    <mergeCell ref="TMJ2:TMP2"/>
    <mergeCell ref="TMQ2:TMW2"/>
    <mergeCell ref="TMX2:TND2"/>
    <mergeCell ref="TNE2:TNK2"/>
    <mergeCell ref="TNL2:TNR2"/>
    <mergeCell ref="TNS2:TNY2"/>
    <mergeCell ref="TNZ2:TOF2"/>
    <mergeCell ref="TOG2:TOM2"/>
    <mergeCell ref="TON2:TOT2"/>
    <mergeCell ref="TOU2:TPA2"/>
    <mergeCell ref="TPB2:TPH2"/>
    <mergeCell ref="TPI2:TPO2"/>
    <mergeCell ref="TPP2:TPV2"/>
    <mergeCell ref="TPW2:TQC2"/>
    <mergeCell ref="TQD2:TQJ2"/>
    <mergeCell ref="TQK2:TQQ2"/>
    <mergeCell ref="TQR2:TQX2"/>
    <mergeCell ref="TQY2:TRE2"/>
    <mergeCell ref="TRF2:TRL2"/>
    <mergeCell ref="TRM2:TRS2"/>
    <mergeCell ref="TRT2:TRZ2"/>
    <mergeCell ref="TSA2:TSG2"/>
    <mergeCell ref="TSH2:TSN2"/>
    <mergeCell ref="TSO2:TSU2"/>
    <mergeCell ref="TSV2:TTB2"/>
    <mergeCell ref="TTC2:TTI2"/>
    <mergeCell ref="TTJ2:TTP2"/>
    <mergeCell ref="TTQ2:TTW2"/>
    <mergeCell ref="TTX2:TUD2"/>
    <mergeCell ref="TUE2:TUK2"/>
    <mergeCell ref="TUL2:TUR2"/>
    <mergeCell ref="TUS2:TUY2"/>
    <mergeCell ref="TUZ2:TVF2"/>
    <mergeCell ref="TVG2:TVM2"/>
    <mergeCell ref="TVN2:TVT2"/>
    <mergeCell ref="TVU2:TWA2"/>
    <mergeCell ref="TWB2:TWH2"/>
    <mergeCell ref="TWI2:TWO2"/>
    <mergeCell ref="TWP2:TWV2"/>
    <mergeCell ref="TWW2:TXC2"/>
    <mergeCell ref="TXD2:TXJ2"/>
    <mergeCell ref="TXK2:TXQ2"/>
    <mergeCell ref="TXR2:TXX2"/>
    <mergeCell ref="TXY2:TYE2"/>
    <mergeCell ref="TYF2:TYL2"/>
    <mergeCell ref="TYM2:TYS2"/>
    <mergeCell ref="TYT2:TYZ2"/>
    <mergeCell ref="TZA2:TZG2"/>
    <mergeCell ref="TZH2:TZN2"/>
    <mergeCell ref="TZO2:TZU2"/>
    <mergeCell ref="TZV2:UAB2"/>
    <mergeCell ref="UAC2:UAI2"/>
    <mergeCell ref="UAJ2:UAP2"/>
    <mergeCell ref="UAQ2:UAW2"/>
    <mergeCell ref="UAX2:UBD2"/>
    <mergeCell ref="UBE2:UBK2"/>
    <mergeCell ref="UBL2:UBR2"/>
    <mergeCell ref="UBS2:UBY2"/>
    <mergeCell ref="UBZ2:UCF2"/>
    <mergeCell ref="UCG2:UCM2"/>
    <mergeCell ref="UCN2:UCT2"/>
    <mergeCell ref="UCU2:UDA2"/>
    <mergeCell ref="UDB2:UDH2"/>
    <mergeCell ref="UDI2:UDO2"/>
    <mergeCell ref="UDP2:UDV2"/>
    <mergeCell ref="UDW2:UEC2"/>
    <mergeCell ref="UED2:UEJ2"/>
    <mergeCell ref="UEK2:UEQ2"/>
    <mergeCell ref="UER2:UEX2"/>
    <mergeCell ref="UEY2:UFE2"/>
    <mergeCell ref="UFF2:UFL2"/>
    <mergeCell ref="UFM2:UFS2"/>
    <mergeCell ref="UFT2:UFZ2"/>
    <mergeCell ref="UGA2:UGG2"/>
    <mergeCell ref="UGH2:UGN2"/>
    <mergeCell ref="UGO2:UGU2"/>
    <mergeCell ref="UGV2:UHB2"/>
    <mergeCell ref="UHC2:UHI2"/>
    <mergeCell ref="UHJ2:UHP2"/>
    <mergeCell ref="UHQ2:UHW2"/>
    <mergeCell ref="UHX2:UID2"/>
    <mergeCell ref="UIE2:UIK2"/>
    <mergeCell ref="UIL2:UIR2"/>
    <mergeCell ref="UIS2:UIY2"/>
    <mergeCell ref="UIZ2:UJF2"/>
    <mergeCell ref="UJG2:UJM2"/>
    <mergeCell ref="UJN2:UJT2"/>
    <mergeCell ref="UJU2:UKA2"/>
    <mergeCell ref="UKB2:UKH2"/>
    <mergeCell ref="UKI2:UKO2"/>
    <mergeCell ref="UKP2:UKV2"/>
    <mergeCell ref="UKW2:ULC2"/>
    <mergeCell ref="ULD2:ULJ2"/>
    <mergeCell ref="ULK2:ULQ2"/>
    <mergeCell ref="ULR2:ULX2"/>
    <mergeCell ref="ULY2:UME2"/>
    <mergeCell ref="UMF2:UML2"/>
    <mergeCell ref="UMM2:UMS2"/>
    <mergeCell ref="UMT2:UMZ2"/>
    <mergeCell ref="UNA2:UNG2"/>
    <mergeCell ref="UNH2:UNN2"/>
    <mergeCell ref="UNO2:UNU2"/>
    <mergeCell ref="UNV2:UOB2"/>
    <mergeCell ref="UOC2:UOI2"/>
    <mergeCell ref="UOJ2:UOP2"/>
    <mergeCell ref="UOQ2:UOW2"/>
    <mergeCell ref="UOX2:UPD2"/>
    <mergeCell ref="UPE2:UPK2"/>
    <mergeCell ref="UPL2:UPR2"/>
    <mergeCell ref="UPS2:UPY2"/>
    <mergeCell ref="UPZ2:UQF2"/>
    <mergeCell ref="UQG2:UQM2"/>
    <mergeCell ref="UQN2:UQT2"/>
    <mergeCell ref="UQU2:URA2"/>
    <mergeCell ref="URB2:URH2"/>
    <mergeCell ref="URI2:URO2"/>
    <mergeCell ref="URP2:URV2"/>
    <mergeCell ref="URW2:USC2"/>
    <mergeCell ref="USD2:USJ2"/>
    <mergeCell ref="USK2:USQ2"/>
    <mergeCell ref="USR2:USX2"/>
    <mergeCell ref="USY2:UTE2"/>
    <mergeCell ref="UTF2:UTL2"/>
    <mergeCell ref="UTM2:UTS2"/>
    <mergeCell ref="UTT2:UTZ2"/>
    <mergeCell ref="UUA2:UUG2"/>
    <mergeCell ref="UUH2:UUN2"/>
    <mergeCell ref="UUO2:UUU2"/>
    <mergeCell ref="UUV2:UVB2"/>
    <mergeCell ref="UVC2:UVI2"/>
    <mergeCell ref="UVJ2:UVP2"/>
    <mergeCell ref="UVQ2:UVW2"/>
    <mergeCell ref="UVX2:UWD2"/>
    <mergeCell ref="UWE2:UWK2"/>
    <mergeCell ref="UWL2:UWR2"/>
    <mergeCell ref="UWS2:UWY2"/>
    <mergeCell ref="UWZ2:UXF2"/>
    <mergeCell ref="UXG2:UXM2"/>
    <mergeCell ref="UXN2:UXT2"/>
    <mergeCell ref="UXU2:UYA2"/>
    <mergeCell ref="UYB2:UYH2"/>
    <mergeCell ref="UYI2:UYO2"/>
    <mergeCell ref="UYP2:UYV2"/>
    <mergeCell ref="UYW2:UZC2"/>
    <mergeCell ref="UZD2:UZJ2"/>
    <mergeCell ref="UZK2:UZQ2"/>
    <mergeCell ref="UZR2:UZX2"/>
    <mergeCell ref="UZY2:VAE2"/>
    <mergeCell ref="VAF2:VAL2"/>
    <mergeCell ref="VAM2:VAS2"/>
    <mergeCell ref="VAT2:VAZ2"/>
    <mergeCell ref="VBA2:VBG2"/>
    <mergeCell ref="VBH2:VBN2"/>
    <mergeCell ref="VBO2:VBU2"/>
    <mergeCell ref="VBV2:VCB2"/>
    <mergeCell ref="VCC2:VCI2"/>
    <mergeCell ref="VCJ2:VCP2"/>
    <mergeCell ref="VCQ2:VCW2"/>
    <mergeCell ref="VCX2:VDD2"/>
    <mergeCell ref="VDE2:VDK2"/>
    <mergeCell ref="VDL2:VDR2"/>
    <mergeCell ref="VDS2:VDY2"/>
    <mergeCell ref="VDZ2:VEF2"/>
    <mergeCell ref="VEG2:VEM2"/>
    <mergeCell ref="VEN2:VET2"/>
    <mergeCell ref="VEU2:VFA2"/>
    <mergeCell ref="VFB2:VFH2"/>
    <mergeCell ref="VFI2:VFO2"/>
    <mergeCell ref="VFP2:VFV2"/>
    <mergeCell ref="VFW2:VGC2"/>
    <mergeCell ref="VGD2:VGJ2"/>
    <mergeCell ref="VGK2:VGQ2"/>
    <mergeCell ref="VGR2:VGX2"/>
    <mergeCell ref="VGY2:VHE2"/>
    <mergeCell ref="VHF2:VHL2"/>
    <mergeCell ref="VHM2:VHS2"/>
    <mergeCell ref="VHT2:VHZ2"/>
    <mergeCell ref="VIA2:VIG2"/>
    <mergeCell ref="VIH2:VIN2"/>
    <mergeCell ref="VIO2:VIU2"/>
    <mergeCell ref="VIV2:VJB2"/>
    <mergeCell ref="VJC2:VJI2"/>
    <mergeCell ref="VJJ2:VJP2"/>
    <mergeCell ref="VJQ2:VJW2"/>
    <mergeCell ref="VJX2:VKD2"/>
    <mergeCell ref="VKE2:VKK2"/>
    <mergeCell ref="VKL2:VKR2"/>
    <mergeCell ref="VKS2:VKY2"/>
    <mergeCell ref="VKZ2:VLF2"/>
    <mergeCell ref="VLG2:VLM2"/>
    <mergeCell ref="VLN2:VLT2"/>
    <mergeCell ref="VLU2:VMA2"/>
    <mergeCell ref="VMB2:VMH2"/>
    <mergeCell ref="VMI2:VMO2"/>
    <mergeCell ref="VMP2:VMV2"/>
    <mergeCell ref="VMW2:VNC2"/>
    <mergeCell ref="VND2:VNJ2"/>
    <mergeCell ref="VNK2:VNQ2"/>
    <mergeCell ref="VNR2:VNX2"/>
    <mergeCell ref="VNY2:VOE2"/>
    <mergeCell ref="VOF2:VOL2"/>
    <mergeCell ref="VOM2:VOS2"/>
    <mergeCell ref="VOT2:VOZ2"/>
    <mergeCell ref="VPA2:VPG2"/>
    <mergeCell ref="VPH2:VPN2"/>
    <mergeCell ref="VPO2:VPU2"/>
    <mergeCell ref="VPV2:VQB2"/>
    <mergeCell ref="VQC2:VQI2"/>
    <mergeCell ref="VQJ2:VQP2"/>
    <mergeCell ref="VQQ2:VQW2"/>
    <mergeCell ref="VQX2:VRD2"/>
    <mergeCell ref="VRE2:VRK2"/>
    <mergeCell ref="VRL2:VRR2"/>
    <mergeCell ref="VRS2:VRY2"/>
    <mergeCell ref="VRZ2:VSF2"/>
    <mergeCell ref="VSG2:VSM2"/>
    <mergeCell ref="VSN2:VST2"/>
    <mergeCell ref="VSU2:VTA2"/>
    <mergeCell ref="VTB2:VTH2"/>
    <mergeCell ref="VTI2:VTO2"/>
    <mergeCell ref="VTP2:VTV2"/>
    <mergeCell ref="VTW2:VUC2"/>
    <mergeCell ref="VUD2:VUJ2"/>
    <mergeCell ref="VUK2:VUQ2"/>
    <mergeCell ref="VUR2:VUX2"/>
    <mergeCell ref="VUY2:VVE2"/>
    <mergeCell ref="VVF2:VVL2"/>
    <mergeCell ref="VVM2:VVS2"/>
    <mergeCell ref="VVT2:VVZ2"/>
    <mergeCell ref="VWA2:VWG2"/>
    <mergeCell ref="VWH2:VWN2"/>
    <mergeCell ref="VWO2:VWU2"/>
    <mergeCell ref="VWV2:VXB2"/>
    <mergeCell ref="VXC2:VXI2"/>
    <mergeCell ref="VXJ2:VXP2"/>
    <mergeCell ref="VXQ2:VXW2"/>
    <mergeCell ref="VXX2:VYD2"/>
    <mergeCell ref="VYE2:VYK2"/>
    <mergeCell ref="VYL2:VYR2"/>
    <mergeCell ref="VYS2:VYY2"/>
    <mergeCell ref="VYZ2:VZF2"/>
    <mergeCell ref="VZG2:VZM2"/>
    <mergeCell ref="VZN2:VZT2"/>
    <mergeCell ref="VZU2:WAA2"/>
    <mergeCell ref="WAB2:WAH2"/>
    <mergeCell ref="WAI2:WAO2"/>
    <mergeCell ref="WAP2:WAV2"/>
    <mergeCell ref="WAW2:WBC2"/>
    <mergeCell ref="WBD2:WBJ2"/>
    <mergeCell ref="WBK2:WBQ2"/>
    <mergeCell ref="WBR2:WBX2"/>
    <mergeCell ref="WBY2:WCE2"/>
    <mergeCell ref="WCF2:WCL2"/>
    <mergeCell ref="WCM2:WCS2"/>
    <mergeCell ref="WCT2:WCZ2"/>
    <mergeCell ref="WDA2:WDG2"/>
    <mergeCell ref="WDH2:WDN2"/>
    <mergeCell ref="WDO2:WDU2"/>
    <mergeCell ref="WDV2:WEB2"/>
    <mergeCell ref="WEC2:WEI2"/>
    <mergeCell ref="WEJ2:WEP2"/>
    <mergeCell ref="WEQ2:WEW2"/>
    <mergeCell ref="WEX2:WFD2"/>
    <mergeCell ref="WFE2:WFK2"/>
    <mergeCell ref="WFL2:WFR2"/>
    <mergeCell ref="WFS2:WFY2"/>
    <mergeCell ref="WFZ2:WGF2"/>
    <mergeCell ref="WGG2:WGM2"/>
    <mergeCell ref="WGN2:WGT2"/>
    <mergeCell ref="WGU2:WHA2"/>
    <mergeCell ref="WHB2:WHH2"/>
    <mergeCell ref="WHI2:WHO2"/>
    <mergeCell ref="WHP2:WHV2"/>
    <mergeCell ref="WHW2:WIC2"/>
    <mergeCell ref="WID2:WIJ2"/>
    <mergeCell ref="WIK2:WIQ2"/>
    <mergeCell ref="WIR2:WIX2"/>
    <mergeCell ref="WIY2:WJE2"/>
    <mergeCell ref="WJF2:WJL2"/>
    <mergeCell ref="WJM2:WJS2"/>
    <mergeCell ref="WJT2:WJZ2"/>
    <mergeCell ref="WKA2:WKG2"/>
    <mergeCell ref="WKH2:WKN2"/>
    <mergeCell ref="WKO2:WKU2"/>
    <mergeCell ref="WKV2:WLB2"/>
    <mergeCell ref="WLC2:WLI2"/>
    <mergeCell ref="WLJ2:WLP2"/>
    <mergeCell ref="WLQ2:WLW2"/>
    <mergeCell ref="WLX2:WMD2"/>
    <mergeCell ref="WME2:WMK2"/>
    <mergeCell ref="WML2:WMR2"/>
    <mergeCell ref="WMS2:WMY2"/>
    <mergeCell ref="WMZ2:WNF2"/>
    <mergeCell ref="WNG2:WNM2"/>
    <mergeCell ref="WNN2:WNT2"/>
    <mergeCell ref="WNU2:WOA2"/>
    <mergeCell ref="WOB2:WOH2"/>
    <mergeCell ref="WOI2:WOO2"/>
    <mergeCell ref="WOP2:WOV2"/>
    <mergeCell ref="WOW2:WPC2"/>
    <mergeCell ref="WPD2:WPJ2"/>
    <mergeCell ref="WPK2:WPQ2"/>
    <mergeCell ref="WPR2:WPX2"/>
    <mergeCell ref="WPY2:WQE2"/>
    <mergeCell ref="WQF2:WQL2"/>
    <mergeCell ref="WQM2:WQS2"/>
    <mergeCell ref="WQT2:WQZ2"/>
    <mergeCell ref="WRA2:WRG2"/>
    <mergeCell ref="WRH2:WRN2"/>
    <mergeCell ref="WRO2:WRU2"/>
    <mergeCell ref="WRV2:WSB2"/>
    <mergeCell ref="WSC2:WSI2"/>
    <mergeCell ref="WSJ2:WSP2"/>
    <mergeCell ref="WSQ2:WSW2"/>
    <mergeCell ref="WSX2:WTD2"/>
    <mergeCell ref="WTE2:WTK2"/>
    <mergeCell ref="WTL2:WTR2"/>
    <mergeCell ref="WTS2:WTY2"/>
    <mergeCell ref="WTZ2:WUF2"/>
    <mergeCell ref="WUG2:WUM2"/>
    <mergeCell ref="WUN2:WUT2"/>
    <mergeCell ref="WUU2:WVA2"/>
    <mergeCell ref="WVB2:WVH2"/>
    <mergeCell ref="WVI2:WVO2"/>
    <mergeCell ref="WVP2:WVV2"/>
    <mergeCell ref="WVW2:WWC2"/>
    <mergeCell ref="WWD2:WWJ2"/>
    <mergeCell ref="WWK2:WWQ2"/>
    <mergeCell ref="WWR2:WWX2"/>
    <mergeCell ref="WWY2:WXE2"/>
    <mergeCell ref="WXF2:WXL2"/>
    <mergeCell ref="WXM2:WXS2"/>
    <mergeCell ref="WXT2:WXZ2"/>
    <mergeCell ref="WYA2:WYG2"/>
    <mergeCell ref="WYH2:WYN2"/>
    <mergeCell ref="WYO2:WYU2"/>
    <mergeCell ref="WYV2:WZB2"/>
    <mergeCell ref="WZC2:WZI2"/>
    <mergeCell ref="WZJ2:WZP2"/>
    <mergeCell ref="WZQ2:WZW2"/>
    <mergeCell ref="WZX2:XAD2"/>
    <mergeCell ref="XAE2:XAK2"/>
    <mergeCell ref="XAL2:XAR2"/>
    <mergeCell ref="XAS2:XAY2"/>
    <mergeCell ref="XAZ2:XBF2"/>
    <mergeCell ref="XBG2:XBM2"/>
    <mergeCell ref="XBN2:XBT2"/>
    <mergeCell ref="XBU2:XCA2"/>
    <mergeCell ref="XCB2:XCH2"/>
    <mergeCell ref="XCI2:XCO2"/>
    <mergeCell ref="XCP2:XCV2"/>
    <mergeCell ref="XCW2:XDC2"/>
    <mergeCell ref="XDD2:XDJ2"/>
    <mergeCell ref="XDK2:XDQ2"/>
    <mergeCell ref="XDR2:XDX2"/>
    <mergeCell ref="XDY2:XEE2"/>
    <mergeCell ref="XEF2:XEL2"/>
    <mergeCell ref="XEM2:XES2"/>
    <mergeCell ref="XET2:XEZ2"/>
    <mergeCell ref="XFA2:XFD2"/>
  </mergeCells>
  <printOptions horizontalCentered="1"/>
  <pageMargins left="0.0791666666666667" right="0.2" top="0.788888888888889" bottom="0.979166666666667" header="0.509027777777778" footer="0.509027777777778"/>
  <pageSetup paperSize="9" orientation="landscape" horizontalDpi="600" verticalDpi="6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3"/>
  <sheetViews>
    <sheetView workbookViewId="0">
      <selection activeCell="B17" sqref="B17"/>
    </sheetView>
  </sheetViews>
  <sheetFormatPr defaultColWidth="9.77777777777778" defaultRowHeight="15.6"/>
  <cols>
    <col min="1" max="1" width="32.5" style="40" customWidth="1"/>
    <col min="2" max="3" width="47.6388888888889" style="40" customWidth="1"/>
    <col min="4" max="32" width="10" style="40"/>
    <col min="33" max="256" width="9.77777777777778" style="40"/>
    <col min="257" max="16384" width="9.77777777777778" style="39"/>
  </cols>
  <sheetData>
    <row r="1" spans="1:1">
      <c r="A1" s="3" t="s">
        <v>1002</v>
      </c>
    </row>
    <row r="2" s="39" customFormat="1" ht="41.25" customHeight="1" spans="1:256">
      <c r="A2" s="21" t="s">
        <v>1003</v>
      </c>
      <c r="B2" s="21"/>
      <c r="C2" s="21"/>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row>
    <row r="3" s="39" customFormat="1" ht="24" customHeight="1" spans="1:256">
      <c r="A3" s="40"/>
      <c r="B3" s="40"/>
      <c r="C3" s="41" t="s">
        <v>2</v>
      </c>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row>
    <row r="4" s="39" customFormat="1" ht="30" customHeight="1" spans="1:256">
      <c r="A4" s="42" t="s">
        <v>998</v>
      </c>
      <c r="B4" s="42" t="s">
        <v>999</v>
      </c>
      <c r="C4" s="42" t="s">
        <v>1000</v>
      </c>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row>
    <row r="5" s="39" customFormat="1" ht="30" customHeight="1" spans="1:256">
      <c r="A5" s="43" t="s">
        <v>1001</v>
      </c>
      <c r="B5" s="44">
        <v>154165</v>
      </c>
      <c r="C5" s="44">
        <v>154165</v>
      </c>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row>
    <row r="6" s="39" customFormat="1" spans="1:256">
      <c r="A6" s="40"/>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row>
    <row r="7" s="39" customFormat="1" spans="1:256">
      <c r="A7" s="40"/>
      <c r="B7" s="40"/>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row>
    <row r="8" s="39" customFormat="1" spans="1:256">
      <c r="A8" s="40"/>
      <c r="B8" s="40"/>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row>
    <row r="9" s="39" customFormat="1" spans="1:256">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row>
    <row r="10" s="39" customFormat="1" spans="1:256">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row>
    <row r="11" s="39" customFormat="1" spans="1:256">
      <c r="A11" s="40"/>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row>
    <row r="12" s="39" customFormat="1" spans="1:256">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row>
    <row r="13" s="39" customFormat="1" spans="1:256">
      <c r="A13" s="40"/>
      <c r="B13" s="40"/>
      <c r="C13" s="40" t="s">
        <v>1004</v>
      </c>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row>
  </sheetData>
  <mergeCells count="1">
    <mergeCell ref="A2:C2"/>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H13"/>
  <sheetViews>
    <sheetView zoomScale="85" zoomScaleNormal="85" workbookViewId="0">
      <selection activeCell="B38" sqref="B38"/>
    </sheetView>
  </sheetViews>
  <sheetFormatPr defaultColWidth="8.88888888888889" defaultRowHeight="14.4"/>
  <cols>
    <col min="1" max="1" width="38.25" customWidth="1"/>
    <col min="2" max="2" width="4.66666666666667" customWidth="1"/>
    <col min="3" max="4" width="3.66666666666667" customWidth="1"/>
    <col min="5" max="5" width="26.3796296296296" customWidth="1"/>
    <col min="7" max="7" width="104.462962962963" customWidth="1"/>
  </cols>
  <sheetData>
    <row r="1" spans="1:1">
      <c r="A1" s="3" t="s">
        <v>1005</v>
      </c>
    </row>
    <row r="2" s="18" customFormat="1" ht="34" customHeight="1" spans="1:7">
      <c r="A2" s="21" t="s">
        <v>1006</v>
      </c>
      <c r="B2" s="21"/>
      <c r="C2" s="21"/>
      <c r="D2" s="21"/>
      <c r="E2" s="21"/>
      <c r="F2" s="21"/>
      <c r="G2" s="21"/>
    </row>
    <row r="3" s="18" customFormat="1" ht="19" customHeight="1" spans="7:7">
      <c r="G3" s="22" t="s">
        <v>113</v>
      </c>
    </row>
    <row r="4" s="19" customFormat="1" ht="42" customHeight="1" spans="1:7">
      <c r="A4" s="23" t="s">
        <v>114</v>
      </c>
      <c r="B4" s="24" t="s">
        <v>115</v>
      </c>
      <c r="C4" s="24" t="s">
        <v>116</v>
      </c>
      <c r="D4" s="24" t="s">
        <v>117</v>
      </c>
      <c r="E4" s="25" t="s">
        <v>120</v>
      </c>
      <c r="F4" s="26" t="s">
        <v>1007</v>
      </c>
      <c r="G4" s="27" t="s">
        <v>1008</v>
      </c>
    </row>
    <row r="5" s="20" customFormat="1" ht="51" customHeight="1" spans="1:16362">
      <c r="A5" s="28" t="s">
        <v>1009</v>
      </c>
      <c r="B5" s="28"/>
      <c r="C5" s="28"/>
      <c r="D5" s="28"/>
      <c r="E5" s="28"/>
      <c r="F5" s="29">
        <f>SUM(F6:F13)</f>
        <v>3679.5</v>
      </c>
      <c r="G5" s="30"/>
      <c r="XEG5" s="18"/>
      <c r="XEH5" s="18"/>
    </row>
    <row r="6" s="18" customFormat="1" ht="51" customHeight="1" spans="1:7">
      <c r="A6" s="31" t="s">
        <v>512</v>
      </c>
      <c r="B6" s="32">
        <v>211</v>
      </c>
      <c r="C6" s="33" t="s">
        <v>145</v>
      </c>
      <c r="D6" s="33" t="s">
        <v>225</v>
      </c>
      <c r="E6" s="34" t="s">
        <v>341</v>
      </c>
      <c r="F6" s="29">
        <v>300</v>
      </c>
      <c r="G6" s="35" t="s">
        <v>1010</v>
      </c>
    </row>
    <row r="7" s="18" customFormat="1" ht="51" customHeight="1" spans="1:7">
      <c r="A7" s="31" t="s">
        <v>512</v>
      </c>
      <c r="B7" s="32">
        <v>224</v>
      </c>
      <c r="C7" s="33" t="s">
        <v>179</v>
      </c>
      <c r="D7" s="33" t="s">
        <v>166</v>
      </c>
      <c r="E7" s="34" t="s">
        <v>343</v>
      </c>
      <c r="F7" s="29">
        <v>100</v>
      </c>
      <c r="G7" s="35" t="s">
        <v>1011</v>
      </c>
    </row>
    <row r="8" s="18" customFormat="1" ht="51" customHeight="1" spans="1:7">
      <c r="A8" s="31" t="s">
        <v>512</v>
      </c>
      <c r="B8" s="33" t="s">
        <v>336</v>
      </c>
      <c r="C8" s="33" t="s">
        <v>145</v>
      </c>
      <c r="D8" s="33" t="s">
        <v>149</v>
      </c>
      <c r="E8" s="34" t="s">
        <v>345</v>
      </c>
      <c r="F8" s="29">
        <v>1000</v>
      </c>
      <c r="G8" s="35" t="s">
        <v>1012</v>
      </c>
    </row>
    <row r="9" s="18" customFormat="1" ht="51" customHeight="1" spans="1:7">
      <c r="A9" s="31" t="s">
        <v>515</v>
      </c>
      <c r="B9" s="33" t="s">
        <v>336</v>
      </c>
      <c r="C9" s="33" t="s">
        <v>166</v>
      </c>
      <c r="D9" s="33" t="s">
        <v>149</v>
      </c>
      <c r="E9" s="34" t="s">
        <v>1013</v>
      </c>
      <c r="F9" s="29">
        <v>200</v>
      </c>
      <c r="G9" s="36" t="s">
        <v>1014</v>
      </c>
    </row>
    <row r="10" s="18" customFormat="1" ht="51" customHeight="1" spans="1:7">
      <c r="A10" s="31" t="s">
        <v>516</v>
      </c>
      <c r="B10" s="33" t="s">
        <v>336</v>
      </c>
      <c r="C10" s="33" t="s">
        <v>142</v>
      </c>
      <c r="D10" s="33" t="s">
        <v>166</v>
      </c>
      <c r="E10" s="34" t="s">
        <v>1015</v>
      </c>
      <c r="F10" s="29">
        <v>52.5</v>
      </c>
      <c r="G10" s="37" t="s">
        <v>1016</v>
      </c>
    </row>
    <row r="11" s="18" customFormat="1" ht="90" customHeight="1" spans="1:7">
      <c r="A11" s="31" t="s">
        <v>541</v>
      </c>
      <c r="B11" s="33" t="s">
        <v>380</v>
      </c>
      <c r="C11" s="33" t="s">
        <v>145</v>
      </c>
      <c r="D11" s="33" t="s">
        <v>142</v>
      </c>
      <c r="E11" s="34" t="s">
        <v>1017</v>
      </c>
      <c r="F11" s="29">
        <v>227</v>
      </c>
      <c r="G11" s="38" t="s">
        <v>1018</v>
      </c>
    </row>
    <row r="12" s="18" customFormat="1" ht="51" customHeight="1" spans="1:7">
      <c r="A12" s="31" t="s">
        <v>552</v>
      </c>
      <c r="B12" s="33" t="s">
        <v>232</v>
      </c>
      <c r="C12" s="33" t="s">
        <v>225</v>
      </c>
      <c r="D12" s="33" t="s">
        <v>149</v>
      </c>
      <c r="E12" s="34" t="s">
        <v>243</v>
      </c>
      <c r="F12" s="29">
        <v>1700</v>
      </c>
      <c r="G12" s="36" t="s">
        <v>1019</v>
      </c>
    </row>
    <row r="13" s="18" customFormat="1" ht="51" customHeight="1" spans="1:7">
      <c r="A13" s="31" t="s">
        <v>540</v>
      </c>
      <c r="B13" s="33" t="s">
        <v>380</v>
      </c>
      <c r="C13" s="33" t="s">
        <v>145</v>
      </c>
      <c r="D13" s="33" t="s">
        <v>179</v>
      </c>
      <c r="E13" s="34" t="s">
        <v>1020</v>
      </c>
      <c r="F13" s="29">
        <v>100</v>
      </c>
      <c r="G13" s="36"/>
    </row>
  </sheetData>
  <mergeCells count="2">
    <mergeCell ref="A2:G2"/>
    <mergeCell ref="A5:E5"/>
  </mergeCells>
  <pageMargins left="0.75" right="0.75" top="1" bottom="1" header="0.511805555555556" footer="0.511805555555556"/>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tabSelected="1" workbookViewId="0">
      <selection activeCell="A11" sqref="A11:G11"/>
    </sheetView>
  </sheetViews>
  <sheetFormatPr defaultColWidth="8.88888888888889" defaultRowHeight="14.4" outlineLevelCol="6"/>
  <cols>
    <col min="1" max="1" width="17.7777777777778" customWidth="1"/>
    <col min="2" max="4" width="17.7777777777778" style="1" customWidth="1"/>
    <col min="5" max="5" width="17.7777777777778" style="2" customWidth="1"/>
    <col min="6" max="6" width="19.2222222222222" style="1" customWidth="1"/>
    <col min="7" max="7" width="17.7777777777778" style="1" customWidth="1"/>
  </cols>
  <sheetData>
    <row r="1" spans="1:1">
      <c r="A1" s="3" t="s">
        <v>1021</v>
      </c>
    </row>
    <row r="2" ht="37" customHeight="1" spans="1:7">
      <c r="A2" s="4" t="s">
        <v>1022</v>
      </c>
      <c r="B2" s="4"/>
      <c r="C2" s="4"/>
      <c r="D2" s="4"/>
      <c r="E2" s="4"/>
      <c r="F2" s="4"/>
      <c r="G2" s="4"/>
    </row>
    <row r="3" spans="7:7">
      <c r="G3" s="1" t="s">
        <v>2</v>
      </c>
    </row>
    <row r="4" ht="31" customHeight="1" spans="1:7">
      <c r="A4" s="5" t="s">
        <v>114</v>
      </c>
      <c r="B4" s="6" t="s">
        <v>1023</v>
      </c>
      <c r="C4" s="7"/>
      <c r="D4" s="7"/>
      <c r="E4" s="8"/>
      <c r="F4" s="7"/>
      <c r="G4" s="9"/>
    </row>
    <row r="5" ht="33" customHeight="1" spans="1:7">
      <c r="A5" s="10"/>
      <c r="B5" s="5" t="s">
        <v>127</v>
      </c>
      <c r="C5" s="5" t="s">
        <v>619</v>
      </c>
      <c r="D5" s="11" t="s">
        <v>1024</v>
      </c>
      <c r="E5" s="12" t="s">
        <v>1025</v>
      </c>
      <c r="F5" s="13"/>
      <c r="G5" s="12" t="s">
        <v>1026</v>
      </c>
    </row>
    <row r="6" ht="37" customHeight="1" spans="1:7">
      <c r="A6" s="14"/>
      <c r="B6" s="14"/>
      <c r="C6" s="14"/>
      <c r="D6" s="15"/>
      <c r="E6" s="12" t="s">
        <v>1027</v>
      </c>
      <c r="F6" s="13" t="s">
        <v>422</v>
      </c>
      <c r="G6" s="12"/>
    </row>
    <row r="7" ht="37" customHeight="1" spans="1:7">
      <c r="A7" s="16" t="s">
        <v>590</v>
      </c>
      <c r="B7" s="16">
        <v>320.34</v>
      </c>
      <c r="C7" s="16">
        <v>88.07</v>
      </c>
      <c r="D7" s="16">
        <v>274.07</v>
      </c>
      <c r="E7" s="12">
        <v>72</v>
      </c>
      <c r="F7" s="16">
        <v>202.07</v>
      </c>
      <c r="G7" s="16">
        <v>0</v>
      </c>
    </row>
    <row r="8" ht="18" customHeight="1" spans="1:7">
      <c r="A8" s="17" t="s">
        <v>1028</v>
      </c>
      <c r="B8" s="17"/>
      <c r="C8" s="17"/>
      <c r="D8" s="17"/>
      <c r="E8" s="17"/>
      <c r="F8" s="17"/>
      <c r="G8" s="17"/>
    </row>
    <row r="9" ht="18" customHeight="1" spans="1:7">
      <c r="A9" s="17" t="s">
        <v>1029</v>
      </c>
      <c r="B9" s="17"/>
      <c r="C9" s="17"/>
      <c r="D9" s="17"/>
      <c r="E9" s="17"/>
      <c r="F9" s="17"/>
      <c r="G9" s="17"/>
    </row>
    <row r="10" ht="18" customHeight="1" spans="1:7">
      <c r="A10" s="17" t="s">
        <v>1030</v>
      </c>
      <c r="B10" s="17"/>
      <c r="C10" s="17"/>
      <c r="D10" s="17"/>
      <c r="E10" s="17"/>
      <c r="F10" s="17"/>
      <c r="G10" s="17"/>
    </row>
    <row r="11" ht="18" customHeight="1" spans="1:7">
      <c r="A11" s="17" t="s">
        <v>1031</v>
      </c>
      <c r="B11" s="17"/>
      <c r="C11" s="17"/>
      <c r="D11" s="17"/>
      <c r="E11" s="17"/>
      <c r="F11" s="17"/>
      <c r="G11" s="17"/>
    </row>
  </sheetData>
  <mergeCells count="12">
    <mergeCell ref="A2:G2"/>
    <mergeCell ref="B4:G4"/>
    <mergeCell ref="E5:F5"/>
    <mergeCell ref="A8:G8"/>
    <mergeCell ref="A9:G9"/>
    <mergeCell ref="A10:G10"/>
    <mergeCell ref="A11:G11"/>
    <mergeCell ref="A4:A6"/>
    <mergeCell ref="B5:B6"/>
    <mergeCell ref="C5:C6"/>
    <mergeCell ref="D5:D6"/>
    <mergeCell ref="G5:G6"/>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26"/>
  <sheetViews>
    <sheetView workbookViewId="0">
      <selection activeCell="I13" sqref="I13"/>
    </sheetView>
  </sheetViews>
  <sheetFormatPr defaultColWidth="8.88888888888889" defaultRowHeight="14.4"/>
  <cols>
    <col min="1" max="1" width="15.6944444444444" customWidth="1"/>
    <col min="2" max="4" width="3.77777777777778" customWidth="1"/>
    <col min="5" max="5" width="6.25" customWidth="1"/>
    <col min="6" max="6" width="9.00925925925926" customWidth="1"/>
    <col min="7" max="7" width="15.9722222222222" customWidth="1"/>
    <col min="8" max="13" width="9.30555555555556" customWidth="1"/>
    <col min="14" max="14" width="10.4444444444444" hidden="1" customWidth="1"/>
    <col min="15" max="15" width="37.0833333333333" customWidth="1"/>
  </cols>
  <sheetData>
    <row r="1" spans="1:1">
      <c r="A1" s="3" t="s">
        <v>111</v>
      </c>
    </row>
    <row r="2" ht="20.4" spans="1:15">
      <c r="A2" s="236" t="s">
        <v>112</v>
      </c>
      <c r="B2" s="236"/>
      <c r="C2" s="236"/>
      <c r="D2" s="236"/>
      <c r="E2" s="236"/>
      <c r="F2" s="236"/>
      <c r="G2" s="236"/>
      <c r="H2" s="236"/>
      <c r="I2" s="236"/>
      <c r="J2" s="236"/>
      <c r="K2" s="236"/>
      <c r="L2" s="236"/>
      <c r="M2" s="236"/>
      <c r="N2" s="236"/>
      <c r="O2" s="236"/>
    </row>
    <row r="3" ht="15.6" spans="1:15">
      <c r="A3" s="237"/>
      <c r="B3" s="59"/>
      <c r="C3" s="59"/>
      <c r="D3" s="59"/>
      <c r="E3" s="64"/>
      <c r="F3" s="238"/>
      <c r="G3" s="65"/>
      <c r="H3" s="66"/>
      <c r="I3" s="66"/>
      <c r="J3" s="66"/>
      <c r="K3" s="259"/>
      <c r="L3" s="66"/>
      <c r="M3" s="259"/>
      <c r="N3" s="259"/>
      <c r="O3" s="260" t="s">
        <v>113</v>
      </c>
    </row>
    <row r="4" spans="1:15">
      <c r="A4" s="239" t="s">
        <v>114</v>
      </c>
      <c r="B4" s="240" t="s">
        <v>115</v>
      </c>
      <c r="C4" s="241" t="s">
        <v>116</v>
      </c>
      <c r="D4" s="240" t="s">
        <v>117</v>
      </c>
      <c r="E4" s="241" t="s">
        <v>118</v>
      </c>
      <c r="F4" s="242" t="s">
        <v>119</v>
      </c>
      <c r="G4" s="242" t="s">
        <v>120</v>
      </c>
      <c r="H4" s="262" t="s">
        <v>121</v>
      </c>
      <c r="I4" s="119" t="s">
        <v>122</v>
      </c>
      <c r="J4" s="243"/>
      <c r="K4" s="261"/>
      <c r="L4" s="243"/>
      <c r="M4" s="243"/>
      <c r="N4" s="262" t="s">
        <v>123</v>
      </c>
      <c r="O4" s="241" t="s">
        <v>124</v>
      </c>
    </row>
    <row r="5" spans="1:15">
      <c r="A5" s="244"/>
      <c r="B5" s="245"/>
      <c r="C5" s="246"/>
      <c r="D5" s="245"/>
      <c r="E5" s="246"/>
      <c r="F5" s="247"/>
      <c r="G5" s="247"/>
      <c r="H5" s="247"/>
      <c r="I5" s="241" t="s">
        <v>125</v>
      </c>
      <c r="J5" s="241" t="s">
        <v>126</v>
      </c>
      <c r="K5" s="246"/>
      <c r="L5" s="246"/>
      <c r="M5" s="246"/>
      <c r="N5" s="247"/>
      <c r="O5" s="226"/>
    </row>
    <row r="6" ht="19.2" spans="1:15">
      <c r="A6" s="248"/>
      <c r="B6" s="245"/>
      <c r="C6" s="246"/>
      <c r="D6" s="245"/>
      <c r="E6" s="246"/>
      <c r="F6" s="249"/>
      <c r="G6" s="249"/>
      <c r="H6" s="265"/>
      <c r="I6" s="294"/>
      <c r="J6" s="241" t="s">
        <v>127</v>
      </c>
      <c r="K6" s="263" t="s">
        <v>128</v>
      </c>
      <c r="L6" s="264" t="s">
        <v>129</v>
      </c>
      <c r="M6" s="241" t="s">
        <v>130</v>
      </c>
      <c r="N6" s="265"/>
      <c r="O6" s="226"/>
    </row>
    <row r="7" spans="1:15">
      <c r="A7" s="250" t="s">
        <v>131</v>
      </c>
      <c r="B7" s="251"/>
      <c r="C7" s="251"/>
      <c r="D7" s="251"/>
      <c r="E7" s="251"/>
      <c r="F7" s="251"/>
      <c r="G7" s="251"/>
      <c r="H7" s="76">
        <f t="shared" ref="H7:H71" si="0">I7+K7+L7+M7</f>
        <v>147195.62</v>
      </c>
      <c r="I7" s="76">
        <f t="shared" ref="I7:M7" si="1">SUM(I8:I426)/2</f>
        <v>24606.22</v>
      </c>
      <c r="J7" s="76">
        <f t="shared" ref="J7:J71" si="2">K7+L7+M7</f>
        <v>122589.4</v>
      </c>
      <c r="K7" s="76">
        <f t="shared" si="1"/>
        <v>110915.46</v>
      </c>
      <c r="L7" s="76">
        <f t="shared" si="1"/>
        <v>5071.18</v>
      </c>
      <c r="M7" s="76">
        <f t="shared" si="1"/>
        <v>6602.76</v>
      </c>
      <c r="N7" s="266">
        <f>SUM(N9:N426)</f>
        <v>85859.74</v>
      </c>
      <c r="O7" s="80"/>
    </row>
    <row r="8" spans="1:15">
      <c r="A8" s="252" t="s">
        <v>132</v>
      </c>
      <c r="B8" s="251"/>
      <c r="C8" s="251"/>
      <c r="D8" s="251"/>
      <c r="E8" s="251"/>
      <c r="F8" s="251"/>
      <c r="G8" s="251"/>
      <c r="H8" s="76">
        <f t="shared" ref="H8:M8" si="3">SUM(H9:H149)</f>
        <v>73718.75</v>
      </c>
      <c r="I8" s="76">
        <f t="shared" si="3"/>
        <v>24583.96</v>
      </c>
      <c r="J8" s="76">
        <f t="shared" si="3"/>
        <v>49134.79</v>
      </c>
      <c r="K8" s="76">
        <f t="shared" si="3"/>
        <v>40195.17</v>
      </c>
      <c r="L8" s="76">
        <f t="shared" si="3"/>
        <v>2336.86</v>
      </c>
      <c r="M8" s="76">
        <f t="shared" si="3"/>
        <v>6602.76</v>
      </c>
      <c r="N8" s="266"/>
      <c r="O8" s="80"/>
    </row>
    <row r="9" ht="60" spans="1:15">
      <c r="A9" s="252" t="s">
        <v>132</v>
      </c>
      <c r="B9" s="73" t="s">
        <v>133</v>
      </c>
      <c r="C9" s="253">
        <v>99</v>
      </c>
      <c r="D9" s="253">
        <v>99</v>
      </c>
      <c r="E9" s="74" t="s">
        <v>134</v>
      </c>
      <c r="F9" s="254" t="s">
        <v>135</v>
      </c>
      <c r="G9" s="75" t="s">
        <v>136</v>
      </c>
      <c r="H9" s="76">
        <f t="shared" si="0"/>
        <v>2500</v>
      </c>
      <c r="I9" s="76"/>
      <c r="J9" s="76">
        <f t="shared" si="2"/>
        <v>2500</v>
      </c>
      <c r="K9" s="76">
        <v>2500</v>
      </c>
      <c r="L9" s="76"/>
      <c r="M9" s="76"/>
      <c r="N9" s="266">
        <v>2500</v>
      </c>
      <c r="O9" s="79" t="s">
        <v>137</v>
      </c>
    </row>
    <row r="10" ht="36" spans="1:15">
      <c r="A10" s="252" t="s">
        <v>132</v>
      </c>
      <c r="B10" s="253">
        <v>212</v>
      </c>
      <c r="C10" s="253">
        <v>99</v>
      </c>
      <c r="D10" s="253">
        <v>99</v>
      </c>
      <c r="E10" s="74" t="s">
        <v>138</v>
      </c>
      <c r="F10" s="254" t="s">
        <v>135</v>
      </c>
      <c r="G10" s="255" t="s">
        <v>139</v>
      </c>
      <c r="H10" s="76">
        <f t="shared" si="0"/>
        <v>4195</v>
      </c>
      <c r="I10" s="295">
        <v>960</v>
      </c>
      <c r="J10" s="76">
        <f t="shared" si="2"/>
        <v>3235</v>
      </c>
      <c r="K10" s="76">
        <v>3235</v>
      </c>
      <c r="L10" s="76"/>
      <c r="M10" s="76"/>
      <c r="N10" s="266">
        <v>3345</v>
      </c>
      <c r="O10" s="267" t="s">
        <v>140</v>
      </c>
    </row>
    <row r="11" ht="62.4" spans="1:15">
      <c r="A11" s="252" t="s">
        <v>132</v>
      </c>
      <c r="B11" s="253">
        <v>213</v>
      </c>
      <c r="C11" s="253" t="s">
        <v>141</v>
      </c>
      <c r="D11" s="253" t="s">
        <v>142</v>
      </c>
      <c r="E11" s="74" t="s">
        <v>138</v>
      </c>
      <c r="F11" s="254" t="s">
        <v>135</v>
      </c>
      <c r="G11" s="255" t="s">
        <v>143</v>
      </c>
      <c r="H11" s="76">
        <f t="shared" si="0"/>
        <v>1200</v>
      </c>
      <c r="I11" s="295"/>
      <c r="J11" s="76">
        <f t="shared" si="2"/>
        <v>1200</v>
      </c>
      <c r="K11" s="76">
        <v>1200</v>
      </c>
      <c r="L11" s="76"/>
      <c r="M11" s="76"/>
      <c r="N11" s="266">
        <v>1115</v>
      </c>
      <c r="O11" s="267" t="s">
        <v>144</v>
      </c>
    </row>
    <row r="12" ht="36" spans="1:15">
      <c r="A12" s="252" t="s">
        <v>132</v>
      </c>
      <c r="B12" s="73" t="s">
        <v>133</v>
      </c>
      <c r="C12" s="253" t="s">
        <v>145</v>
      </c>
      <c r="D12" s="253">
        <v>99</v>
      </c>
      <c r="E12" s="74" t="s">
        <v>138</v>
      </c>
      <c r="F12" s="254" t="s">
        <v>135</v>
      </c>
      <c r="G12" s="75" t="s">
        <v>146</v>
      </c>
      <c r="H12" s="76">
        <f t="shared" si="0"/>
        <v>200</v>
      </c>
      <c r="I12" s="76"/>
      <c r="J12" s="76">
        <f t="shared" si="2"/>
        <v>200</v>
      </c>
      <c r="K12" s="76">
        <v>200</v>
      </c>
      <c r="L12" s="76"/>
      <c r="M12" s="76"/>
      <c r="N12" s="268"/>
      <c r="O12" s="79" t="s">
        <v>147</v>
      </c>
    </row>
    <row r="13" ht="64.8" spans="1:15">
      <c r="A13" s="252" t="s">
        <v>132</v>
      </c>
      <c r="B13" s="73" t="s">
        <v>133</v>
      </c>
      <c r="C13" s="73" t="s">
        <v>148</v>
      </c>
      <c r="D13" s="73" t="s">
        <v>149</v>
      </c>
      <c r="E13" s="74" t="s">
        <v>138</v>
      </c>
      <c r="F13" s="241" t="s">
        <v>135</v>
      </c>
      <c r="G13" s="75" t="s">
        <v>150</v>
      </c>
      <c r="H13" s="76">
        <f t="shared" si="0"/>
        <v>131.75</v>
      </c>
      <c r="I13" s="76">
        <v>30</v>
      </c>
      <c r="J13" s="76">
        <f t="shared" si="2"/>
        <v>101.75</v>
      </c>
      <c r="K13" s="76">
        <v>101.75</v>
      </c>
      <c r="L13" s="76"/>
      <c r="M13" s="76"/>
      <c r="N13" s="266">
        <v>339.61</v>
      </c>
      <c r="O13" s="77" t="s">
        <v>151</v>
      </c>
    </row>
    <row r="14" ht="36" spans="1:15">
      <c r="A14" s="252" t="s">
        <v>132</v>
      </c>
      <c r="B14" s="73" t="s">
        <v>133</v>
      </c>
      <c r="C14" s="73" t="s">
        <v>152</v>
      </c>
      <c r="D14" s="73" t="s">
        <v>149</v>
      </c>
      <c r="E14" s="74" t="s">
        <v>138</v>
      </c>
      <c r="F14" s="241" t="s">
        <v>135</v>
      </c>
      <c r="G14" s="75" t="s">
        <v>153</v>
      </c>
      <c r="H14" s="76">
        <f t="shared" si="0"/>
        <v>20</v>
      </c>
      <c r="I14" s="76"/>
      <c r="J14" s="76">
        <f t="shared" si="2"/>
        <v>20</v>
      </c>
      <c r="K14" s="76">
        <v>20</v>
      </c>
      <c r="L14" s="76"/>
      <c r="M14" s="269"/>
      <c r="N14" s="270"/>
      <c r="O14" s="271" t="s">
        <v>154</v>
      </c>
    </row>
    <row r="15" ht="78" spans="1:15">
      <c r="A15" s="252" t="s">
        <v>132</v>
      </c>
      <c r="B15" s="73" t="s">
        <v>133</v>
      </c>
      <c r="C15" s="73" t="s">
        <v>152</v>
      </c>
      <c r="D15" s="73" t="s">
        <v>149</v>
      </c>
      <c r="E15" s="74" t="s">
        <v>138</v>
      </c>
      <c r="F15" s="241" t="s">
        <v>135</v>
      </c>
      <c r="G15" s="75" t="s">
        <v>155</v>
      </c>
      <c r="H15" s="76">
        <f t="shared" si="0"/>
        <v>144.6</v>
      </c>
      <c r="I15" s="76"/>
      <c r="J15" s="76">
        <f t="shared" si="2"/>
        <v>144.6</v>
      </c>
      <c r="K15" s="76">
        <v>144.6</v>
      </c>
      <c r="L15" s="76"/>
      <c r="M15" s="76"/>
      <c r="N15" s="266">
        <v>282.6</v>
      </c>
      <c r="O15" s="77" t="s">
        <v>156</v>
      </c>
    </row>
    <row r="16" ht="36" spans="1:15">
      <c r="A16" s="252" t="s">
        <v>132</v>
      </c>
      <c r="B16" s="73" t="s">
        <v>133</v>
      </c>
      <c r="C16" s="73" t="s">
        <v>157</v>
      </c>
      <c r="D16" s="73" t="s">
        <v>158</v>
      </c>
      <c r="E16" s="74" t="s">
        <v>138</v>
      </c>
      <c r="F16" s="256" t="s">
        <v>135</v>
      </c>
      <c r="G16" s="75" t="s">
        <v>159</v>
      </c>
      <c r="H16" s="76">
        <f t="shared" si="0"/>
        <v>60</v>
      </c>
      <c r="I16" s="76"/>
      <c r="J16" s="76">
        <f t="shared" si="2"/>
        <v>60</v>
      </c>
      <c r="K16" s="76">
        <v>60</v>
      </c>
      <c r="L16" s="76"/>
      <c r="M16" s="76"/>
      <c r="N16" s="266">
        <v>90</v>
      </c>
      <c r="O16" s="80" t="s">
        <v>160</v>
      </c>
    </row>
    <row r="17" ht="36" spans="1:15">
      <c r="A17" s="252" t="s">
        <v>132</v>
      </c>
      <c r="B17" s="73" t="s">
        <v>133</v>
      </c>
      <c r="C17" s="73" t="s">
        <v>161</v>
      </c>
      <c r="D17" s="73" t="s">
        <v>149</v>
      </c>
      <c r="E17" s="74" t="s">
        <v>138</v>
      </c>
      <c r="F17" s="241" t="s">
        <v>135</v>
      </c>
      <c r="G17" s="75" t="s">
        <v>162</v>
      </c>
      <c r="H17" s="76">
        <f t="shared" si="0"/>
        <v>23</v>
      </c>
      <c r="I17" s="76"/>
      <c r="J17" s="76">
        <f t="shared" si="2"/>
        <v>23</v>
      </c>
      <c r="K17" s="76">
        <v>23</v>
      </c>
      <c r="L17" s="76"/>
      <c r="M17" s="76"/>
      <c r="N17" s="266">
        <v>38</v>
      </c>
      <c r="O17" s="272" t="s">
        <v>163</v>
      </c>
    </row>
    <row r="18" ht="36" spans="1:15">
      <c r="A18" s="252" t="s">
        <v>132</v>
      </c>
      <c r="B18" s="73" t="s">
        <v>133</v>
      </c>
      <c r="C18" s="73" t="s">
        <v>161</v>
      </c>
      <c r="D18" s="73" t="s">
        <v>149</v>
      </c>
      <c r="E18" s="74" t="s">
        <v>138</v>
      </c>
      <c r="F18" s="241" t="s">
        <v>135</v>
      </c>
      <c r="G18" s="75" t="s">
        <v>164</v>
      </c>
      <c r="H18" s="76">
        <f t="shared" si="0"/>
        <v>20</v>
      </c>
      <c r="I18" s="76"/>
      <c r="J18" s="76">
        <f t="shared" si="2"/>
        <v>20</v>
      </c>
      <c r="K18" s="76">
        <v>20</v>
      </c>
      <c r="L18" s="76"/>
      <c r="M18" s="76"/>
      <c r="N18" s="266">
        <v>28</v>
      </c>
      <c r="O18" s="269"/>
    </row>
    <row r="19" ht="38.4" spans="1:15">
      <c r="A19" s="252" t="s">
        <v>132</v>
      </c>
      <c r="B19" s="73" t="s">
        <v>165</v>
      </c>
      <c r="C19" s="73" t="s">
        <v>149</v>
      </c>
      <c r="D19" s="73" t="s">
        <v>166</v>
      </c>
      <c r="E19" s="74" t="s">
        <v>138</v>
      </c>
      <c r="F19" s="241" t="s">
        <v>135</v>
      </c>
      <c r="G19" s="75" t="s">
        <v>167</v>
      </c>
      <c r="H19" s="76">
        <f t="shared" si="0"/>
        <v>252</v>
      </c>
      <c r="I19" s="76"/>
      <c r="J19" s="76">
        <f t="shared" si="2"/>
        <v>252</v>
      </c>
      <c r="K19" s="273">
        <v>252</v>
      </c>
      <c r="L19" s="76"/>
      <c r="M19" s="76"/>
      <c r="N19" s="266">
        <v>208</v>
      </c>
      <c r="O19" s="274" t="s">
        <v>168</v>
      </c>
    </row>
    <row r="20" ht="36" spans="1:15">
      <c r="A20" s="252" t="s">
        <v>132</v>
      </c>
      <c r="B20" s="73" t="s">
        <v>165</v>
      </c>
      <c r="C20" s="73" t="s">
        <v>149</v>
      </c>
      <c r="D20" s="73" t="s">
        <v>166</v>
      </c>
      <c r="E20" s="74" t="s">
        <v>138</v>
      </c>
      <c r="F20" s="241" t="s">
        <v>135</v>
      </c>
      <c r="G20" s="75" t="s">
        <v>169</v>
      </c>
      <c r="H20" s="76">
        <f t="shared" si="0"/>
        <v>55</v>
      </c>
      <c r="I20" s="76">
        <v>5</v>
      </c>
      <c r="J20" s="76">
        <f t="shared" si="2"/>
        <v>50</v>
      </c>
      <c r="K20" s="273">
        <v>50</v>
      </c>
      <c r="L20" s="76"/>
      <c r="M20" s="76"/>
      <c r="N20" s="266">
        <v>80</v>
      </c>
      <c r="O20" s="275"/>
    </row>
    <row r="21" ht="36" spans="1:15">
      <c r="A21" s="252" t="s">
        <v>132</v>
      </c>
      <c r="B21" s="73" t="s">
        <v>133</v>
      </c>
      <c r="C21" s="73" t="s">
        <v>145</v>
      </c>
      <c r="D21" s="73" t="s">
        <v>149</v>
      </c>
      <c r="E21" s="74" t="s">
        <v>138</v>
      </c>
      <c r="F21" s="241" t="s">
        <v>135</v>
      </c>
      <c r="G21" s="75" t="s">
        <v>170</v>
      </c>
      <c r="H21" s="76">
        <f t="shared" si="0"/>
        <v>170</v>
      </c>
      <c r="I21" s="76"/>
      <c r="J21" s="76">
        <f t="shared" si="2"/>
        <v>170</v>
      </c>
      <c r="K21" s="76">
        <v>170</v>
      </c>
      <c r="L21" s="76"/>
      <c r="M21" s="76"/>
      <c r="N21" s="266">
        <v>200</v>
      </c>
      <c r="O21" s="80"/>
    </row>
    <row r="22" ht="60" spans="1:15">
      <c r="A22" s="252" t="s">
        <v>132</v>
      </c>
      <c r="B22" s="257" t="s">
        <v>165</v>
      </c>
      <c r="C22" s="257" t="s">
        <v>166</v>
      </c>
      <c r="D22" s="257" t="s">
        <v>149</v>
      </c>
      <c r="E22" s="258" t="s">
        <v>138</v>
      </c>
      <c r="F22" s="256" t="s">
        <v>135</v>
      </c>
      <c r="G22" s="75" t="s">
        <v>171</v>
      </c>
      <c r="H22" s="76">
        <f t="shared" si="0"/>
        <v>280</v>
      </c>
      <c r="I22" s="76"/>
      <c r="J22" s="76">
        <f t="shared" si="2"/>
        <v>280</v>
      </c>
      <c r="K22" s="276">
        <v>280</v>
      </c>
      <c r="L22" s="76"/>
      <c r="M22" s="76"/>
      <c r="N22" s="266">
        <v>65</v>
      </c>
      <c r="O22" s="274" t="s">
        <v>172</v>
      </c>
    </row>
    <row r="23" ht="36" spans="1:15">
      <c r="A23" s="252" t="s">
        <v>132</v>
      </c>
      <c r="B23" s="73" t="s">
        <v>133</v>
      </c>
      <c r="C23" s="73" t="s">
        <v>173</v>
      </c>
      <c r="D23" s="73" t="s">
        <v>158</v>
      </c>
      <c r="E23" s="74" t="s">
        <v>138</v>
      </c>
      <c r="F23" s="256" t="s">
        <v>135</v>
      </c>
      <c r="G23" s="75" t="s">
        <v>174</v>
      </c>
      <c r="H23" s="76">
        <f t="shared" si="0"/>
        <v>30</v>
      </c>
      <c r="I23" s="76"/>
      <c r="J23" s="76">
        <f t="shared" si="2"/>
        <v>30</v>
      </c>
      <c r="K23" s="76">
        <v>30</v>
      </c>
      <c r="L23" s="76"/>
      <c r="M23" s="76"/>
      <c r="N23" s="266">
        <v>125</v>
      </c>
      <c r="O23" s="80"/>
    </row>
    <row r="24" ht="36" spans="1:15">
      <c r="A24" s="252" t="s">
        <v>132</v>
      </c>
      <c r="B24" s="73" t="s">
        <v>133</v>
      </c>
      <c r="C24" s="73" t="s">
        <v>175</v>
      </c>
      <c r="D24" s="73" t="s">
        <v>142</v>
      </c>
      <c r="E24" s="74" t="s">
        <v>138</v>
      </c>
      <c r="F24" s="241" t="s">
        <v>135</v>
      </c>
      <c r="G24" s="75" t="s">
        <v>176</v>
      </c>
      <c r="H24" s="76">
        <f t="shared" si="0"/>
        <v>50</v>
      </c>
      <c r="I24" s="76"/>
      <c r="J24" s="76">
        <f t="shared" si="2"/>
        <v>50</v>
      </c>
      <c r="K24" s="76">
        <v>50</v>
      </c>
      <c r="L24" s="76"/>
      <c r="M24" s="76"/>
      <c r="N24" s="266">
        <v>40</v>
      </c>
      <c r="O24" s="80"/>
    </row>
    <row r="25" ht="36" spans="1:15">
      <c r="A25" s="252" t="s">
        <v>132</v>
      </c>
      <c r="B25" s="73" t="s">
        <v>133</v>
      </c>
      <c r="C25" s="243">
        <v>32</v>
      </c>
      <c r="D25" s="73" t="s">
        <v>149</v>
      </c>
      <c r="E25" s="74" t="s">
        <v>138</v>
      </c>
      <c r="F25" s="241" t="s">
        <v>135</v>
      </c>
      <c r="G25" s="75" t="s">
        <v>177</v>
      </c>
      <c r="H25" s="76">
        <f t="shared" si="0"/>
        <v>20</v>
      </c>
      <c r="I25" s="76"/>
      <c r="J25" s="76">
        <f t="shared" si="2"/>
        <v>20</v>
      </c>
      <c r="K25" s="276">
        <v>20</v>
      </c>
      <c r="L25" s="76"/>
      <c r="M25" s="76"/>
      <c r="N25" s="266">
        <v>20</v>
      </c>
      <c r="O25" s="77" t="s">
        <v>178</v>
      </c>
    </row>
    <row r="26" ht="36" spans="1:15">
      <c r="A26" s="252" t="s">
        <v>132</v>
      </c>
      <c r="B26" s="73" t="s">
        <v>133</v>
      </c>
      <c r="C26" s="73" t="s">
        <v>166</v>
      </c>
      <c r="D26" s="73" t="s">
        <v>179</v>
      </c>
      <c r="E26" s="74" t="s">
        <v>138</v>
      </c>
      <c r="F26" s="241" t="s">
        <v>135</v>
      </c>
      <c r="G26" s="75" t="s">
        <v>180</v>
      </c>
      <c r="H26" s="76">
        <f t="shared" si="0"/>
        <v>30</v>
      </c>
      <c r="I26" s="76"/>
      <c r="J26" s="76">
        <f t="shared" si="2"/>
        <v>30</v>
      </c>
      <c r="K26" s="76">
        <v>30</v>
      </c>
      <c r="L26" s="76"/>
      <c r="M26" s="76"/>
      <c r="N26" s="266">
        <v>15</v>
      </c>
      <c r="O26" s="77" t="s">
        <v>181</v>
      </c>
    </row>
    <row r="27" ht="36" spans="1:15">
      <c r="A27" s="252" t="s">
        <v>132</v>
      </c>
      <c r="B27" s="73" t="s">
        <v>133</v>
      </c>
      <c r="C27" s="73" t="s">
        <v>182</v>
      </c>
      <c r="D27" s="73" t="s">
        <v>149</v>
      </c>
      <c r="E27" s="74" t="s">
        <v>138</v>
      </c>
      <c r="F27" s="241" t="s">
        <v>135</v>
      </c>
      <c r="G27" s="75" t="s">
        <v>183</v>
      </c>
      <c r="H27" s="76">
        <f t="shared" si="0"/>
        <v>12.8</v>
      </c>
      <c r="I27" s="76"/>
      <c r="J27" s="76">
        <f t="shared" si="2"/>
        <v>12.8</v>
      </c>
      <c r="K27" s="76">
        <v>12.8</v>
      </c>
      <c r="L27" s="76"/>
      <c r="M27" s="76"/>
      <c r="N27" s="266">
        <v>16</v>
      </c>
      <c r="O27" s="80"/>
    </row>
    <row r="28" ht="36" spans="1:15">
      <c r="A28" s="252" t="s">
        <v>132</v>
      </c>
      <c r="B28" s="73" t="s">
        <v>133</v>
      </c>
      <c r="C28" s="73" t="s">
        <v>182</v>
      </c>
      <c r="D28" s="73" t="s">
        <v>149</v>
      </c>
      <c r="E28" s="74" t="s">
        <v>138</v>
      </c>
      <c r="F28" s="241" t="s">
        <v>135</v>
      </c>
      <c r="G28" s="75" t="s">
        <v>184</v>
      </c>
      <c r="H28" s="76">
        <f t="shared" si="0"/>
        <v>35</v>
      </c>
      <c r="I28" s="76">
        <v>7</v>
      </c>
      <c r="J28" s="76">
        <f t="shared" si="2"/>
        <v>28</v>
      </c>
      <c r="K28" s="76">
        <v>28</v>
      </c>
      <c r="L28" s="76"/>
      <c r="M28" s="76"/>
      <c r="N28" s="266">
        <v>40</v>
      </c>
      <c r="O28" s="77" t="s">
        <v>185</v>
      </c>
    </row>
    <row r="29" ht="36" spans="1:15">
      <c r="A29" s="252" t="s">
        <v>132</v>
      </c>
      <c r="B29" s="73" t="s">
        <v>133</v>
      </c>
      <c r="C29" s="73" t="s">
        <v>182</v>
      </c>
      <c r="D29" s="73" t="s">
        <v>149</v>
      </c>
      <c r="E29" s="74" t="s">
        <v>138</v>
      </c>
      <c r="F29" s="241" t="s">
        <v>135</v>
      </c>
      <c r="G29" s="75" t="s">
        <v>186</v>
      </c>
      <c r="H29" s="76">
        <f t="shared" si="0"/>
        <v>20</v>
      </c>
      <c r="I29" s="76"/>
      <c r="J29" s="76">
        <f t="shared" si="2"/>
        <v>20</v>
      </c>
      <c r="K29" s="76">
        <v>20</v>
      </c>
      <c r="L29" s="76"/>
      <c r="M29" s="76"/>
      <c r="N29" s="266">
        <v>22</v>
      </c>
      <c r="O29" s="80"/>
    </row>
    <row r="30" ht="36" spans="1:15">
      <c r="A30" s="252" t="s">
        <v>132</v>
      </c>
      <c r="B30" s="73" t="s">
        <v>133</v>
      </c>
      <c r="C30" s="73" t="s">
        <v>158</v>
      </c>
      <c r="D30" s="73" t="s">
        <v>149</v>
      </c>
      <c r="E30" s="74" t="s">
        <v>138</v>
      </c>
      <c r="F30" s="241" t="s">
        <v>135</v>
      </c>
      <c r="G30" s="75" t="s">
        <v>187</v>
      </c>
      <c r="H30" s="76">
        <f t="shared" si="0"/>
        <v>27.6</v>
      </c>
      <c r="I30" s="76"/>
      <c r="J30" s="76">
        <f t="shared" si="2"/>
        <v>27.6</v>
      </c>
      <c r="K30" s="76">
        <v>27.6</v>
      </c>
      <c r="L30" s="76"/>
      <c r="M30" s="76"/>
      <c r="N30" s="266">
        <v>27.6</v>
      </c>
      <c r="O30" s="77" t="s">
        <v>188</v>
      </c>
    </row>
    <row r="31" ht="36" spans="1:15">
      <c r="A31" s="252" t="s">
        <v>132</v>
      </c>
      <c r="B31" s="73" t="s">
        <v>133</v>
      </c>
      <c r="C31" s="73" t="s">
        <v>158</v>
      </c>
      <c r="D31" s="73" t="s">
        <v>149</v>
      </c>
      <c r="E31" s="74" t="s">
        <v>138</v>
      </c>
      <c r="F31" s="241" t="s">
        <v>135</v>
      </c>
      <c r="G31" s="75" t="s">
        <v>189</v>
      </c>
      <c r="H31" s="76">
        <f t="shared" si="0"/>
        <v>15</v>
      </c>
      <c r="I31" s="76"/>
      <c r="J31" s="76">
        <f t="shared" si="2"/>
        <v>15</v>
      </c>
      <c r="K31" s="76">
        <v>15</v>
      </c>
      <c r="L31" s="76"/>
      <c r="M31" s="76"/>
      <c r="N31" s="266">
        <v>20</v>
      </c>
      <c r="O31" s="80"/>
    </row>
    <row r="32" ht="36" spans="1:15">
      <c r="A32" s="252" t="s">
        <v>132</v>
      </c>
      <c r="B32" s="73" t="s">
        <v>133</v>
      </c>
      <c r="C32" s="73" t="s">
        <v>158</v>
      </c>
      <c r="D32" s="73" t="s">
        <v>149</v>
      </c>
      <c r="E32" s="74" t="s">
        <v>138</v>
      </c>
      <c r="F32" s="241" t="s">
        <v>135</v>
      </c>
      <c r="G32" s="83" t="s">
        <v>190</v>
      </c>
      <c r="H32" s="76">
        <f t="shared" si="0"/>
        <v>80</v>
      </c>
      <c r="I32" s="76">
        <v>50</v>
      </c>
      <c r="J32" s="76">
        <f t="shared" si="2"/>
        <v>30</v>
      </c>
      <c r="K32" s="76">
        <v>30</v>
      </c>
      <c r="L32" s="76"/>
      <c r="M32" s="76"/>
      <c r="N32" s="266">
        <v>50</v>
      </c>
      <c r="O32" s="77" t="s">
        <v>191</v>
      </c>
    </row>
    <row r="33" ht="36" spans="1:15">
      <c r="A33" s="252" t="s">
        <v>132</v>
      </c>
      <c r="B33" s="73" t="s">
        <v>133</v>
      </c>
      <c r="C33" s="73" t="s">
        <v>158</v>
      </c>
      <c r="D33" s="73" t="s">
        <v>149</v>
      </c>
      <c r="E33" s="74" t="s">
        <v>138</v>
      </c>
      <c r="F33" s="241" t="s">
        <v>135</v>
      </c>
      <c r="G33" s="83" t="s">
        <v>192</v>
      </c>
      <c r="H33" s="76">
        <f t="shared" si="0"/>
        <v>100</v>
      </c>
      <c r="I33" s="76"/>
      <c r="J33" s="76">
        <f t="shared" si="2"/>
        <v>100</v>
      </c>
      <c r="K33" s="76">
        <v>100</v>
      </c>
      <c r="L33" s="76"/>
      <c r="M33" s="76"/>
      <c r="N33" s="266"/>
      <c r="O33" s="77"/>
    </row>
    <row r="34" ht="36" spans="1:15">
      <c r="A34" s="252" t="s">
        <v>132</v>
      </c>
      <c r="B34" s="73" t="s">
        <v>133</v>
      </c>
      <c r="C34" s="73" t="s">
        <v>145</v>
      </c>
      <c r="D34" s="73" t="s">
        <v>149</v>
      </c>
      <c r="E34" s="74" t="s">
        <v>138</v>
      </c>
      <c r="F34" s="241" t="s">
        <v>135</v>
      </c>
      <c r="G34" s="83" t="s">
        <v>193</v>
      </c>
      <c r="H34" s="76">
        <f t="shared" si="0"/>
        <v>20</v>
      </c>
      <c r="I34" s="76"/>
      <c r="J34" s="76">
        <f t="shared" si="2"/>
        <v>20</v>
      </c>
      <c r="K34" s="76">
        <v>20</v>
      </c>
      <c r="L34" s="76"/>
      <c r="M34" s="76"/>
      <c r="N34" s="266"/>
      <c r="O34" s="77"/>
    </row>
    <row r="35" ht="36" spans="1:15">
      <c r="A35" s="252" t="s">
        <v>132</v>
      </c>
      <c r="B35" s="73" t="s">
        <v>194</v>
      </c>
      <c r="C35" s="73" t="s">
        <v>149</v>
      </c>
      <c r="D35" s="73" t="s">
        <v>149</v>
      </c>
      <c r="E35" s="74" t="s">
        <v>138</v>
      </c>
      <c r="F35" s="241" t="s">
        <v>135</v>
      </c>
      <c r="G35" s="75" t="s">
        <v>195</v>
      </c>
      <c r="H35" s="76">
        <f t="shared" si="0"/>
        <v>2300</v>
      </c>
      <c r="I35" s="76">
        <v>2000</v>
      </c>
      <c r="J35" s="76">
        <f t="shared" si="2"/>
        <v>300</v>
      </c>
      <c r="K35" s="76">
        <v>300</v>
      </c>
      <c r="L35" s="76"/>
      <c r="M35" s="76"/>
      <c r="N35" s="266">
        <v>320</v>
      </c>
      <c r="O35" s="79" t="s">
        <v>196</v>
      </c>
    </row>
    <row r="36" ht="36" spans="1:15">
      <c r="A36" s="252" t="s">
        <v>132</v>
      </c>
      <c r="B36" s="73" t="s">
        <v>133</v>
      </c>
      <c r="C36" s="73" t="s">
        <v>148</v>
      </c>
      <c r="D36" s="73" t="s">
        <v>149</v>
      </c>
      <c r="E36" s="74" t="s">
        <v>138</v>
      </c>
      <c r="F36" s="241" t="s">
        <v>135</v>
      </c>
      <c r="G36" s="75" t="s">
        <v>197</v>
      </c>
      <c r="H36" s="76">
        <f t="shared" si="0"/>
        <v>478.95</v>
      </c>
      <c r="I36" s="76">
        <v>278.95</v>
      </c>
      <c r="J36" s="76">
        <f t="shared" si="2"/>
        <v>200</v>
      </c>
      <c r="K36" s="76">
        <v>200</v>
      </c>
      <c r="L36" s="76"/>
      <c r="M36" s="76"/>
      <c r="N36" s="266">
        <v>375.65</v>
      </c>
      <c r="O36" s="77" t="s">
        <v>198</v>
      </c>
    </row>
    <row r="37" ht="36" spans="1:15">
      <c r="A37" s="252" t="s">
        <v>132</v>
      </c>
      <c r="B37" s="73" t="s">
        <v>133</v>
      </c>
      <c r="C37" s="73" t="s">
        <v>179</v>
      </c>
      <c r="D37" s="73" t="s">
        <v>149</v>
      </c>
      <c r="E37" s="74" t="s">
        <v>138</v>
      </c>
      <c r="F37" s="241" t="s">
        <v>135</v>
      </c>
      <c r="G37" s="75" t="s">
        <v>199</v>
      </c>
      <c r="H37" s="76">
        <f t="shared" si="0"/>
        <v>815</v>
      </c>
      <c r="I37" s="76">
        <v>15</v>
      </c>
      <c r="J37" s="76">
        <f t="shared" si="2"/>
        <v>800</v>
      </c>
      <c r="K37" s="76">
        <v>800</v>
      </c>
      <c r="L37" s="76"/>
      <c r="M37" s="76"/>
      <c r="N37" s="266">
        <v>2800</v>
      </c>
      <c r="O37" s="77" t="s">
        <v>200</v>
      </c>
    </row>
    <row r="38" ht="36" spans="1:15">
      <c r="A38" s="252" t="s">
        <v>132</v>
      </c>
      <c r="B38" s="73" t="s">
        <v>133</v>
      </c>
      <c r="C38" s="73" t="s">
        <v>201</v>
      </c>
      <c r="D38" s="73" t="s">
        <v>202</v>
      </c>
      <c r="E38" s="74" t="s">
        <v>138</v>
      </c>
      <c r="F38" s="241" t="s">
        <v>135</v>
      </c>
      <c r="G38" s="75" t="s">
        <v>203</v>
      </c>
      <c r="H38" s="76">
        <f t="shared" si="0"/>
        <v>645</v>
      </c>
      <c r="I38" s="76">
        <v>100</v>
      </c>
      <c r="J38" s="76">
        <f t="shared" si="2"/>
        <v>545</v>
      </c>
      <c r="K38" s="76">
        <v>545</v>
      </c>
      <c r="L38" s="76"/>
      <c r="M38" s="76"/>
      <c r="N38" s="266">
        <v>545</v>
      </c>
      <c r="O38" s="77" t="s">
        <v>204</v>
      </c>
    </row>
    <row r="39" ht="36" spans="1:15">
      <c r="A39" s="252" t="s">
        <v>132</v>
      </c>
      <c r="B39" s="73" t="s">
        <v>194</v>
      </c>
      <c r="C39" s="73" t="s">
        <v>166</v>
      </c>
      <c r="D39" s="73" t="s">
        <v>166</v>
      </c>
      <c r="E39" s="74" t="s">
        <v>138</v>
      </c>
      <c r="F39" s="241" t="s">
        <v>135</v>
      </c>
      <c r="G39" s="75" t="s">
        <v>205</v>
      </c>
      <c r="H39" s="76">
        <f t="shared" si="0"/>
        <v>34.96</v>
      </c>
      <c r="I39" s="76"/>
      <c r="J39" s="76">
        <f t="shared" si="2"/>
        <v>34.96</v>
      </c>
      <c r="K39" s="76">
        <v>34.96</v>
      </c>
      <c r="L39" s="76"/>
      <c r="M39" s="76"/>
      <c r="N39" s="266">
        <v>34.96</v>
      </c>
      <c r="O39" s="79" t="s">
        <v>206</v>
      </c>
    </row>
    <row r="40" ht="36" spans="1:15">
      <c r="A40" s="252" t="s">
        <v>132</v>
      </c>
      <c r="B40" s="73" t="s">
        <v>207</v>
      </c>
      <c r="C40" s="73" t="s">
        <v>166</v>
      </c>
      <c r="D40" s="73" t="s">
        <v>179</v>
      </c>
      <c r="E40" s="74" t="s">
        <v>138</v>
      </c>
      <c r="F40" s="241" t="s">
        <v>135</v>
      </c>
      <c r="G40" s="75" t="s">
        <v>208</v>
      </c>
      <c r="H40" s="76">
        <f t="shared" si="0"/>
        <v>70</v>
      </c>
      <c r="I40" s="76"/>
      <c r="J40" s="76">
        <f t="shared" si="2"/>
        <v>70</v>
      </c>
      <c r="K40" s="277">
        <v>70</v>
      </c>
      <c r="L40" s="76"/>
      <c r="M40" s="76"/>
      <c r="N40" s="266">
        <v>129.6</v>
      </c>
      <c r="O40" s="77" t="s">
        <v>209</v>
      </c>
    </row>
    <row r="41" ht="36" spans="1:15">
      <c r="A41" s="252" t="s">
        <v>132</v>
      </c>
      <c r="B41" s="73" t="s">
        <v>133</v>
      </c>
      <c r="C41" s="73" t="s">
        <v>145</v>
      </c>
      <c r="D41" s="73" t="s">
        <v>166</v>
      </c>
      <c r="E41" s="74" t="s">
        <v>138</v>
      </c>
      <c r="F41" s="241" t="s">
        <v>210</v>
      </c>
      <c r="G41" s="75" t="s">
        <v>211</v>
      </c>
      <c r="H41" s="76">
        <f t="shared" si="0"/>
        <v>33</v>
      </c>
      <c r="I41" s="76"/>
      <c r="J41" s="76">
        <f t="shared" si="2"/>
        <v>33</v>
      </c>
      <c r="K41" s="76">
        <v>33</v>
      </c>
      <c r="L41" s="76"/>
      <c r="M41" s="76"/>
      <c r="N41" s="266">
        <v>55</v>
      </c>
      <c r="O41" s="79" t="s">
        <v>212</v>
      </c>
    </row>
    <row r="42" ht="36" spans="1:15">
      <c r="A42" s="252" t="s">
        <v>132</v>
      </c>
      <c r="B42" s="73" t="s">
        <v>133</v>
      </c>
      <c r="C42" s="73" t="s">
        <v>145</v>
      </c>
      <c r="D42" s="73" t="s">
        <v>166</v>
      </c>
      <c r="E42" s="74" t="s">
        <v>138</v>
      </c>
      <c r="F42" s="241" t="s">
        <v>210</v>
      </c>
      <c r="G42" s="75" t="s">
        <v>213</v>
      </c>
      <c r="H42" s="76">
        <f t="shared" si="0"/>
        <v>60</v>
      </c>
      <c r="I42" s="76"/>
      <c r="J42" s="76">
        <f t="shared" si="2"/>
        <v>60</v>
      </c>
      <c r="K42" s="76">
        <v>60</v>
      </c>
      <c r="L42" s="76"/>
      <c r="M42" s="76"/>
      <c r="N42" s="266">
        <v>68.6</v>
      </c>
      <c r="O42" s="79" t="s">
        <v>214</v>
      </c>
    </row>
    <row r="43" ht="38.4" spans="1:15">
      <c r="A43" s="252" t="s">
        <v>132</v>
      </c>
      <c r="B43" s="73" t="s">
        <v>133</v>
      </c>
      <c r="C43" s="73" t="s">
        <v>145</v>
      </c>
      <c r="D43" s="73" t="s">
        <v>149</v>
      </c>
      <c r="E43" s="74" t="s">
        <v>138</v>
      </c>
      <c r="F43" s="241" t="s">
        <v>135</v>
      </c>
      <c r="G43" s="75" t="s">
        <v>215</v>
      </c>
      <c r="H43" s="76">
        <f t="shared" si="0"/>
        <v>137</v>
      </c>
      <c r="I43" s="76"/>
      <c r="J43" s="76">
        <f t="shared" si="2"/>
        <v>137</v>
      </c>
      <c r="K43" s="76">
        <v>137</v>
      </c>
      <c r="L43" s="76"/>
      <c r="M43" s="76"/>
      <c r="N43" s="266">
        <v>168</v>
      </c>
      <c r="O43" s="77" t="s">
        <v>216</v>
      </c>
    </row>
    <row r="44" ht="36" spans="1:15">
      <c r="A44" s="252" t="s">
        <v>132</v>
      </c>
      <c r="B44" s="73" t="s">
        <v>133</v>
      </c>
      <c r="C44" s="73" t="s">
        <v>202</v>
      </c>
      <c r="D44" s="73" t="s">
        <v>149</v>
      </c>
      <c r="E44" s="74" t="s">
        <v>138</v>
      </c>
      <c r="F44" s="241" t="s">
        <v>135</v>
      </c>
      <c r="G44" s="75" t="s">
        <v>217</v>
      </c>
      <c r="H44" s="76">
        <f t="shared" si="0"/>
        <v>58.86</v>
      </c>
      <c r="I44" s="76"/>
      <c r="J44" s="76">
        <f t="shared" si="2"/>
        <v>58.86</v>
      </c>
      <c r="K44" s="76">
        <v>58.86</v>
      </c>
      <c r="L44" s="76"/>
      <c r="M44" s="76"/>
      <c r="N44" s="266">
        <v>58.86</v>
      </c>
      <c r="O44" s="77" t="s">
        <v>188</v>
      </c>
    </row>
    <row r="45" ht="36" spans="1:15">
      <c r="A45" s="252" t="s">
        <v>132</v>
      </c>
      <c r="B45" s="73" t="s">
        <v>133</v>
      </c>
      <c r="C45" s="73" t="s">
        <v>142</v>
      </c>
      <c r="D45" s="73" t="s">
        <v>142</v>
      </c>
      <c r="E45" s="74" t="s">
        <v>138</v>
      </c>
      <c r="F45" s="241" t="s">
        <v>135</v>
      </c>
      <c r="G45" s="75" t="s">
        <v>218</v>
      </c>
      <c r="H45" s="76">
        <f t="shared" si="0"/>
        <v>130</v>
      </c>
      <c r="I45" s="76"/>
      <c r="J45" s="76">
        <f t="shared" si="2"/>
        <v>130</v>
      </c>
      <c r="K45" s="76">
        <v>130</v>
      </c>
      <c r="L45" s="76"/>
      <c r="M45" s="76"/>
      <c r="N45" s="266">
        <v>152.9</v>
      </c>
      <c r="O45" s="79" t="s">
        <v>219</v>
      </c>
    </row>
    <row r="46" ht="36" spans="1:15">
      <c r="A46" s="252" t="s">
        <v>132</v>
      </c>
      <c r="B46" s="73" t="s">
        <v>133</v>
      </c>
      <c r="C46" s="73" t="s">
        <v>142</v>
      </c>
      <c r="D46" s="73" t="s">
        <v>141</v>
      </c>
      <c r="E46" s="74" t="s">
        <v>138</v>
      </c>
      <c r="F46" s="241" t="s">
        <v>135</v>
      </c>
      <c r="G46" s="75" t="s">
        <v>220</v>
      </c>
      <c r="H46" s="76">
        <f t="shared" si="0"/>
        <v>90</v>
      </c>
      <c r="I46" s="76"/>
      <c r="J46" s="76">
        <f t="shared" si="2"/>
        <v>90</v>
      </c>
      <c r="K46" s="76">
        <v>90</v>
      </c>
      <c r="L46" s="76"/>
      <c r="M46" s="76"/>
      <c r="N46" s="266">
        <v>134.14</v>
      </c>
      <c r="O46" s="80"/>
    </row>
    <row r="47" ht="36" spans="1:15">
      <c r="A47" s="252" t="s">
        <v>132</v>
      </c>
      <c r="B47" s="73" t="s">
        <v>133</v>
      </c>
      <c r="C47" s="73" t="s">
        <v>179</v>
      </c>
      <c r="D47" s="73" t="s">
        <v>141</v>
      </c>
      <c r="E47" s="74" t="s">
        <v>138</v>
      </c>
      <c r="F47" s="241" t="s">
        <v>135</v>
      </c>
      <c r="G47" s="75" t="s">
        <v>221</v>
      </c>
      <c r="H47" s="76">
        <f t="shared" si="0"/>
        <v>100</v>
      </c>
      <c r="I47" s="76"/>
      <c r="J47" s="76">
        <f t="shared" si="2"/>
        <v>100</v>
      </c>
      <c r="K47" s="76">
        <v>100</v>
      </c>
      <c r="L47" s="76"/>
      <c r="M47" s="76"/>
      <c r="N47" s="266">
        <v>100</v>
      </c>
      <c r="O47" s="77" t="s">
        <v>222</v>
      </c>
    </row>
    <row r="48" ht="36" spans="1:15">
      <c r="A48" s="252" t="s">
        <v>132</v>
      </c>
      <c r="B48" s="73" t="s">
        <v>133</v>
      </c>
      <c r="C48" s="73" t="s">
        <v>141</v>
      </c>
      <c r="D48" s="73" t="s">
        <v>149</v>
      </c>
      <c r="E48" s="74" t="s">
        <v>138</v>
      </c>
      <c r="F48" s="241" t="s">
        <v>135</v>
      </c>
      <c r="G48" s="75" t="s">
        <v>223</v>
      </c>
      <c r="H48" s="76">
        <f t="shared" si="0"/>
        <v>2800</v>
      </c>
      <c r="I48" s="76"/>
      <c r="J48" s="76">
        <f t="shared" si="2"/>
        <v>2800</v>
      </c>
      <c r="K48" s="76">
        <v>2800</v>
      </c>
      <c r="L48" s="76"/>
      <c r="M48" s="76"/>
      <c r="N48" s="266">
        <v>3200</v>
      </c>
      <c r="O48" s="80"/>
    </row>
    <row r="49" ht="36" spans="1:15">
      <c r="A49" s="252" t="s">
        <v>132</v>
      </c>
      <c r="B49" s="73" t="s">
        <v>224</v>
      </c>
      <c r="C49" s="73" t="s">
        <v>225</v>
      </c>
      <c r="D49" s="73" t="s">
        <v>149</v>
      </c>
      <c r="E49" s="74" t="s">
        <v>138</v>
      </c>
      <c r="F49" s="241" t="s">
        <v>135</v>
      </c>
      <c r="G49" s="75" t="s">
        <v>226</v>
      </c>
      <c r="H49" s="76">
        <f t="shared" si="0"/>
        <v>60</v>
      </c>
      <c r="I49" s="76"/>
      <c r="J49" s="76">
        <f t="shared" si="2"/>
        <v>60</v>
      </c>
      <c r="K49" s="76">
        <v>60</v>
      </c>
      <c r="L49" s="76"/>
      <c r="M49" s="76"/>
      <c r="N49" s="266">
        <v>30</v>
      </c>
      <c r="O49" s="80"/>
    </row>
    <row r="50" ht="36" spans="1:15">
      <c r="A50" s="252" t="s">
        <v>132</v>
      </c>
      <c r="B50" s="73" t="s">
        <v>133</v>
      </c>
      <c r="C50" s="73" t="s">
        <v>202</v>
      </c>
      <c r="D50" s="73" t="s">
        <v>158</v>
      </c>
      <c r="E50" s="74" t="s">
        <v>138</v>
      </c>
      <c r="F50" s="241" t="s">
        <v>135</v>
      </c>
      <c r="G50" s="75" t="s">
        <v>227</v>
      </c>
      <c r="H50" s="76">
        <f t="shared" si="0"/>
        <v>492.2</v>
      </c>
      <c r="I50" s="76"/>
      <c r="J50" s="76">
        <f t="shared" si="2"/>
        <v>492.2</v>
      </c>
      <c r="K50" s="76">
        <v>342.2</v>
      </c>
      <c r="L50" s="76">
        <v>150</v>
      </c>
      <c r="M50" s="76"/>
      <c r="N50" s="266">
        <v>342.2</v>
      </c>
      <c r="O50" s="77" t="s">
        <v>228</v>
      </c>
    </row>
    <row r="51" ht="37.2" spans="1:15">
      <c r="A51" s="252" t="s">
        <v>132</v>
      </c>
      <c r="B51" s="73" t="s">
        <v>165</v>
      </c>
      <c r="C51" s="73" t="s">
        <v>179</v>
      </c>
      <c r="D51" s="73" t="s">
        <v>149</v>
      </c>
      <c r="E51" s="74" t="s">
        <v>138</v>
      </c>
      <c r="F51" s="241" t="s">
        <v>135</v>
      </c>
      <c r="G51" s="75" t="s">
        <v>229</v>
      </c>
      <c r="H51" s="76">
        <f t="shared" si="0"/>
        <v>155</v>
      </c>
      <c r="I51" s="76">
        <v>70</v>
      </c>
      <c r="J51" s="76">
        <f t="shared" si="2"/>
        <v>85</v>
      </c>
      <c r="K51" s="76">
        <v>85</v>
      </c>
      <c r="L51" s="76"/>
      <c r="M51" s="76"/>
      <c r="N51" s="266">
        <v>102.78</v>
      </c>
      <c r="O51" s="77" t="s">
        <v>230</v>
      </c>
    </row>
    <row r="52" ht="36" spans="1:15">
      <c r="A52" s="252" t="s">
        <v>132</v>
      </c>
      <c r="B52" s="73" t="s">
        <v>224</v>
      </c>
      <c r="C52" s="73" t="s">
        <v>225</v>
      </c>
      <c r="D52" s="73" t="s">
        <v>149</v>
      </c>
      <c r="E52" s="74" t="s">
        <v>138</v>
      </c>
      <c r="F52" s="241" t="s">
        <v>135</v>
      </c>
      <c r="G52" s="75" t="s">
        <v>231</v>
      </c>
      <c r="H52" s="76">
        <f t="shared" si="0"/>
        <v>15</v>
      </c>
      <c r="I52" s="76"/>
      <c r="J52" s="76">
        <f t="shared" si="2"/>
        <v>15</v>
      </c>
      <c r="K52" s="76">
        <v>15</v>
      </c>
      <c r="L52" s="76"/>
      <c r="M52" s="76"/>
      <c r="N52" s="266">
        <v>20</v>
      </c>
      <c r="O52" s="80"/>
    </row>
    <row r="53" ht="118.8" spans="1:15">
      <c r="A53" s="252" t="s">
        <v>132</v>
      </c>
      <c r="B53" s="73" t="s">
        <v>232</v>
      </c>
      <c r="C53" s="73" t="s">
        <v>225</v>
      </c>
      <c r="D53" s="73" t="s">
        <v>149</v>
      </c>
      <c r="E53" s="74" t="s">
        <v>138</v>
      </c>
      <c r="F53" s="241" t="s">
        <v>135</v>
      </c>
      <c r="G53" s="75" t="s">
        <v>233</v>
      </c>
      <c r="H53" s="76">
        <f t="shared" si="0"/>
        <v>2150.9</v>
      </c>
      <c r="I53" s="76"/>
      <c r="J53" s="76">
        <f t="shared" si="2"/>
        <v>2150.9</v>
      </c>
      <c r="K53" s="76">
        <v>1568.4</v>
      </c>
      <c r="L53" s="76">
        <v>582.5</v>
      </c>
      <c r="M53" s="76"/>
      <c r="N53" s="266">
        <v>4013.04</v>
      </c>
      <c r="O53" s="79" t="s">
        <v>234</v>
      </c>
    </row>
    <row r="54" ht="39.6" spans="1:15">
      <c r="A54" s="252" t="s">
        <v>132</v>
      </c>
      <c r="B54" s="73" t="s">
        <v>232</v>
      </c>
      <c r="C54" s="73" t="s">
        <v>225</v>
      </c>
      <c r="D54" s="73" t="s">
        <v>149</v>
      </c>
      <c r="E54" s="74" t="s">
        <v>138</v>
      </c>
      <c r="F54" s="241" t="s">
        <v>135</v>
      </c>
      <c r="G54" s="75" t="s">
        <v>235</v>
      </c>
      <c r="H54" s="76">
        <f t="shared" si="0"/>
        <v>691.5</v>
      </c>
      <c r="I54" s="76">
        <v>46</v>
      </c>
      <c r="J54" s="76">
        <f t="shared" si="2"/>
        <v>645.5</v>
      </c>
      <c r="K54" s="76">
        <v>645.5</v>
      </c>
      <c r="L54" s="76"/>
      <c r="M54" s="76"/>
      <c r="N54" s="266">
        <v>510</v>
      </c>
      <c r="O54" s="77" t="s">
        <v>236</v>
      </c>
    </row>
    <row r="55" ht="36" spans="1:15">
      <c r="A55" s="252" t="s">
        <v>132</v>
      </c>
      <c r="B55" s="73" t="s">
        <v>232</v>
      </c>
      <c r="C55" s="73" t="s">
        <v>225</v>
      </c>
      <c r="D55" s="73" t="s">
        <v>149</v>
      </c>
      <c r="E55" s="74" t="s">
        <v>138</v>
      </c>
      <c r="F55" s="241" t="s">
        <v>135</v>
      </c>
      <c r="G55" s="75" t="s">
        <v>237</v>
      </c>
      <c r="H55" s="76">
        <f t="shared" si="0"/>
        <v>3400</v>
      </c>
      <c r="I55" s="76">
        <v>2200</v>
      </c>
      <c r="J55" s="76">
        <f t="shared" si="2"/>
        <v>1200</v>
      </c>
      <c r="K55" s="76">
        <v>1200</v>
      </c>
      <c r="L55" s="76"/>
      <c r="M55" s="76"/>
      <c r="N55" s="266">
        <v>1157</v>
      </c>
      <c r="O55" s="77" t="s">
        <v>238</v>
      </c>
    </row>
    <row r="56" ht="38.4" spans="1:15">
      <c r="A56" s="252" t="s">
        <v>132</v>
      </c>
      <c r="B56" s="73" t="s">
        <v>232</v>
      </c>
      <c r="C56" s="73" t="s">
        <v>225</v>
      </c>
      <c r="D56" s="73" t="s">
        <v>149</v>
      </c>
      <c r="E56" s="74" t="s">
        <v>138</v>
      </c>
      <c r="F56" s="241" t="s">
        <v>135</v>
      </c>
      <c r="G56" s="75" t="s">
        <v>239</v>
      </c>
      <c r="H56" s="76">
        <f t="shared" si="0"/>
        <v>91.48</v>
      </c>
      <c r="I56" s="76">
        <v>16</v>
      </c>
      <c r="J56" s="76">
        <f t="shared" si="2"/>
        <v>75.48</v>
      </c>
      <c r="K56" s="76">
        <v>75.48</v>
      </c>
      <c r="L56" s="76"/>
      <c r="M56" s="76"/>
      <c r="N56" s="266">
        <v>335.48</v>
      </c>
      <c r="O56" s="77" t="s">
        <v>240</v>
      </c>
    </row>
    <row r="57" ht="39.6" spans="1:15">
      <c r="A57" s="252" t="s">
        <v>132</v>
      </c>
      <c r="B57" s="73" t="s">
        <v>232</v>
      </c>
      <c r="C57" s="73" t="s">
        <v>225</v>
      </c>
      <c r="D57" s="73" t="s">
        <v>149</v>
      </c>
      <c r="E57" s="74" t="s">
        <v>138</v>
      </c>
      <c r="F57" s="241" t="s">
        <v>135</v>
      </c>
      <c r="G57" s="75" t="s">
        <v>241</v>
      </c>
      <c r="H57" s="76">
        <f t="shared" si="0"/>
        <v>1508.24</v>
      </c>
      <c r="I57" s="76">
        <v>677.5</v>
      </c>
      <c r="J57" s="76">
        <f t="shared" si="2"/>
        <v>830.74</v>
      </c>
      <c r="K57" s="76">
        <v>830.74</v>
      </c>
      <c r="L57" s="76"/>
      <c r="M57" s="76"/>
      <c r="N57" s="266">
        <v>959.94</v>
      </c>
      <c r="O57" s="77" t="s">
        <v>242</v>
      </c>
    </row>
    <row r="58" ht="36" spans="1:15">
      <c r="A58" s="252" t="s">
        <v>132</v>
      </c>
      <c r="B58" s="73" t="s">
        <v>232</v>
      </c>
      <c r="C58" s="73" t="s">
        <v>225</v>
      </c>
      <c r="D58" s="73" t="s">
        <v>149</v>
      </c>
      <c r="E58" s="74" t="s">
        <v>138</v>
      </c>
      <c r="F58" s="241" t="s">
        <v>135</v>
      </c>
      <c r="G58" s="75" t="s">
        <v>243</v>
      </c>
      <c r="H58" s="76">
        <f t="shared" si="0"/>
        <v>937</v>
      </c>
      <c r="I58" s="76"/>
      <c r="J58" s="76">
        <f t="shared" si="2"/>
        <v>937</v>
      </c>
      <c r="K58" s="76"/>
      <c r="L58" s="76"/>
      <c r="M58" s="76">
        <v>937</v>
      </c>
      <c r="N58" s="266">
        <v>4127.5</v>
      </c>
      <c r="O58" s="77" t="s">
        <v>244</v>
      </c>
    </row>
    <row r="59" ht="36" spans="1:15">
      <c r="A59" s="252" t="s">
        <v>132</v>
      </c>
      <c r="B59" s="73" t="s">
        <v>194</v>
      </c>
      <c r="C59" s="73" t="s">
        <v>141</v>
      </c>
      <c r="D59" s="73" t="s">
        <v>225</v>
      </c>
      <c r="E59" s="74" t="s">
        <v>138</v>
      </c>
      <c r="F59" s="241" t="s">
        <v>135</v>
      </c>
      <c r="G59" s="75" t="s">
        <v>245</v>
      </c>
      <c r="H59" s="76">
        <f t="shared" si="0"/>
        <v>33</v>
      </c>
      <c r="I59" s="76">
        <v>10</v>
      </c>
      <c r="J59" s="76">
        <f t="shared" si="2"/>
        <v>23</v>
      </c>
      <c r="K59" s="76">
        <v>23</v>
      </c>
      <c r="L59" s="76"/>
      <c r="M59" s="76"/>
      <c r="N59" s="266">
        <v>29</v>
      </c>
      <c r="O59" s="77" t="s">
        <v>246</v>
      </c>
    </row>
    <row r="60" ht="36" spans="1:15">
      <c r="A60" s="252" t="s">
        <v>132</v>
      </c>
      <c r="B60" s="73" t="s">
        <v>194</v>
      </c>
      <c r="C60" s="73" t="s">
        <v>149</v>
      </c>
      <c r="D60" s="73" t="s">
        <v>149</v>
      </c>
      <c r="E60" s="74" t="s">
        <v>138</v>
      </c>
      <c r="F60" s="241" t="s">
        <v>135</v>
      </c>
      <c r="G60" s="75" t="s">
        <v>247</v>
      </c>
      <c r="H60" s="76">
        <f t="shared" si="0"/>
        <v>5</v>
      </c>
      <c r="I60" s="76"/>
      <c r="J60" s="76">
        <f t="shared" si="2"/>
        <v>5</v>
      </c>
      <c r="K60" s="276">
        <v>5</v>
      </c>
      <c r="L60" s="76"/>
      <c r="M60" s="76"/>
      <c r="N60" s="266"/>
      <c r="O60" s="278"/>
    </row>
    <row r="61" ht="36" spans="1:15">
      <c r="A61" s="252" t="s">
        <v>132</v>
      </c>
      <c r="B61" s="73" t="s">
        <v>248</v>
      </c>
      <c r="C61" s="73" t="s">
        <v>166</v>
      </c>
      <c r="D61" s="73" t="s">
        <v>202</v>
      </c>
      <c r="E61" s="74" t="s">
        <v>138</v>
      </c>
      <c r="F61" s="241" t="s">
        <v>135</v>
      </c>
      <c r="G61" s="75" t="s">
        <v>249</v>
      </c>
      <c r="H61" s="76">
        <f t="shared" si="0"/>
        <v>125</v>
      </c>
      <c r="I61" s="76">
        <v>95</v>
      </c>
      <c r="J61" s="76">
        <f t="shared" si="2"/>
        <v>30</v>
      </c>
      <c r="K61" s="276">
        <v>30</v>
      </c>
      <c r="L61" s="76"/>
      <c r="M61" s="76"/>
      <c r="N61" s="266">
        <v>10</v>
      </c>
      <c r="O61" s="79" t="s">
        <v>250</v>
      </c>
    </row>
    <row r="62" ht="36" spans="1:15">
      <c r="A62" s="252" t="s">
        <v>132</v>
      </c>
      <c r="B62" s="73" t="s">
        <v>248</v>
      </c>
      <c r="C62" s="73" t="s">
        <v>166</v>
      </c>
      <c r="D62" s="73" t="s">
        <v>149</v>
      </c>
      <c r="E62" s="74" t="s">
        <v>138</v>
      </c>
      <c r="F62" s="241" t="s">
        <v>135</v>
      </c>
      <c r="G62" s="75" t="s">
        <v>251</v>
      </c>
      <c r="H62" s="76">
        <f t="shared" si="0"/>
        <v>20</v>
      </c>
      <c r="I62" s="76"/>
      <c r="J62" s="76">
        <f t="shared" si="2"/>
        <v>20</v>
      </c>
      <c r="K62" s="76">
        <v>20</v>
      </c>
      <c r="L62" s="76"/>
      <c r="M62" s="76"/>
      <c r="N62" s="266">
        <v>36.3</v>
      </c>
      <c r="O62" s="80"/>
    </row>
    <row r="63" ht="36" spans="1:15">
      <c r="A63" s="252" t="s">
        <v>132</v>
      </c>
      <c r="B63" s="73" t="s">
        <v>252</v>
      </c>
      <c r="C63" s="73" t="s">
        <v>179</v>
      </c>
      <c r="D63" s="73" t="s">
        <v>149</v>
      </c>
      <c r="E63" s="74" t="s">
        <v>138</v>
      </c>
      <c r="F63" s="241" t="s">
        <v>135</v>
      </c>
      <c r="G63" s="75" t="s">
        <v>253</v>
      </c>
      <c r="H63" s="76">
        <f t="shared" si="0"/>
        <v>50</v>
      </c>
      <c r="I63" s="76"/>
      <c r="J63" s="76">
        <f t="shared" si="2"/>
        <v>50</v>
      </c>
      <c r="K63" s="76">
        <v>50</v>
      </c>
      <c r="L63" s="76"/>
      <c r="M63" s="76"/>
      <c r="N63" s="266">
        <v>20</v>
      </c>
      <c r="O63" s="80"/>
    </row>
    <row r="64" ht="36" spans="1:15">
      <c r="A64" s="252" t="s">
        <v>132</v>
      </c>
      <c r="B64" s="73" t="s">
        <v>252</v>
      </c>
      <c r="C64" s="73" t="s">
        <v>166</v>
      </c>
      <c r="D64" s="73" t="s">
        <v>166</v>
      </c>
      <c r="E64" s="74" t="s">
        <v>138</v>
      </c>
      <c r="F64" s="241" t="s">
        <v>135</v>
      </c>
      <c r="G64" s="75" t="s">
        <v>254</v>
      </c>
      <c r="H64" s="76">
        <f t="shared" si="0"/>
        <v>56</v>
      </c>
      <c r="I64" s="276">
        <v>10</v>
      </c>
      <c r="J64" s="76">
        <f t="shared" si="2"/>
        <v>46</v>
      </c>
      <c r="K64" s="76">
        <v>40</v>
      </c>
      <c r="L64" s="76">
        <v>6</v>
      </c>
      <c r="M64" s="76"/>
      <c r="N64" s="266">
        <v>24</v>
      </c>
      <c r="O64" s="79" t="s">
        <v>255</v>
      </c>
    </row>
    <row r="65" ht="36" spans="1:15">
      <c r="A65" s="252" t="s">
        <v>132</v>
      </c>
      <c r="B65" s="73" t="s">
        <v>133</v>
      </c>
      <c r="C65" s="73" t="s">
        <v>145</v>
      </c>
      <c r="D65" s="73" t="s">
        <v>202</v>
      </c>
      <c r="E65" s="74" t="s">
        <v>138</v>
      </c>
      <c r="F65" s="241" t="s">
        <v>135</v>
      </c>
      <c r="G65" s="75" t="s">
        <v>256</v>
      </c>
      <c r="H65" s="76">
        <f t="shared" si="0"/>
        <v>90</v>
      </c>
      <c r="I65" s="76"/>
      <c r="J65" s="76">
        <f t="shared" si="2"/>
        <v>90</v>
      </c>
      <c r="K65" s="76">
        <v>90</v>
      </c>
      <c r="L65" s="76"/>
      <c r="M65" s="76"/>
      <c r="N65" s="266">
        <v>90</v>
      </c>
      <c r="O65" s="80"/>
    </row>
    <row r="66" ht="36" spans="1:15">
      <c r="A66" s="252" t="s">
        <v>132</v>
      </c>
      <c r="B66" s="73" t="s">
        <v>133</v>
      </c>
      <c r="C66" s="73" t="s">
        <v>145</v>
      </c>
      <c r="D66" s="73" t="s">
        <v>202</v>
      </c>
      <c r="E66" s="74" t="s">
        <v>138</v>
      </c>
      <c r="F66" s="241" t="s">
        <v>135</v>
      </c>
      <c r="G66" s="75" t="s">
        <v>257</v>
      </c>
      <c r="H66" s="76">
        <f t="shared" si="0"/>
        <v>22.2</v>
      </c>
      <c r="I66" s="76"/>
      <c r="J66" s="76">
        <f t="shared" si="2"/>
        <v>22.2</v>
      </c>
      <c r="K66" s="76">
        <v>0</v>
      </c>
      <c r="L66" s="76"/>
      <c r="M66" s="76">
        <v>22.2</v>
      </c>
      <c r="N66" s="266"/>
      <c r="O66" s="80"/>
    </row>
    <row r="67" ht="36" spans="1:15">
      <c r="A67" s="252" t="s">
        <v>132</v>
      </c>
      <c r="B67" s="73" t="s">
        <v>133</v>
      </c>
      <c r="C67" s="73" t="s">
        <v>258</v>
      </c>
      <c r="D67" s="73" t="s">
        <v>149</v>
      </c>
      <c r="E67" s="74" t="s">
        <v>138</v>
      </c>
      <c r="F67" s="241" t="s">
        <v>135</v>
      </c>
      <c r="G67" s="75" t="s">
        <v>259</v>
      </c>
      <c r="H67" s="76">
        <f t="shared" si="0"/>
        <v>146.3</v>
      </c>
      <c r="I67" s="76"/>
      <c r="J67" s="76">
        <f t="shared" si="2"/>
        <v>146.3</v>
      </c>
      <c r="K67" s="76">
        <v>146.3</v>
      </c>
      <c r="L67" s="76"/>
      <c r="M67" s="76"/>
      <c r="N67" s="266">
        <v>146.3</v>
      </c>
      <c r="O67" s="80"/>
    </row>
    <row r="68" ht="36" spans="1:15">
      <c r="A68" s="252" t="s">
        <v>132</v>
      </c>
      <c r="B68" s="73" t="s">
        <v>133</v>
      </c>
      <c r="C68" s="73" t="s">
        <v>258</v>
      </c>
      <c r="D68" s="73" t="s">
        <v>260</v>
      </c>
      <c r="E68" s="74" t="s">
        <v>138</v>
      </c>
      <c r="F68" s="241" t="s">
        <v>135</v>
      </c>
      <c r="G68" s="75" t="s">
        <v>261</v>
      </c>
      <c r="H68" s="76">
        <f t="shared" si="0"/>
        <v>132</v>
      </c>
      <c r="I68" s="76">
        <v>7</v>
      </c>
      <c r="J68" s="76">
        <f t="shared" si="2"/>
        <v>125</v>
      </c>
      <c r="K68" s="76">
        <v>125</v>
      </c>
      <c r="L68" s="76"/>
      <c r="M68" s="76"/>
      <c r="N68" s="266">
        <v>125</v>
      </c>
      <c r="O68" s="80"/>
    </row>
    <row r="69" ht="37.2" spans="1:15">
      <c r="A69" s="252" t="s">
        <v>132</v>
      </c>
      <c r="B69" s="73" t="s">
        <v>262</v>
      </c>
      <c r="C69" s="73" t="s">
        <v>166</v>
      </c>
      <c r="D69" s="73" t="s">
        <v>263</v>
      </c>
      <c r="E69" s="74" t="s">
        <v>138</v>
      </c>
      <c r="F69" s="241" t="s">
        <v>135</v>
      </c>
      <c r="G69" s="75" t="s">
        <v>264</v>
      </c>
      <c r="H69" s="76">
        <f t="shared" si="0"/>
        <v>65.29</v>
      </c>
      <c r="I69" s="76"/>
      <c r="J69" s="76">
        <f t="shared" si="2"/>
        <v>65.29</v>
      </c>
      <c r="K69" s="279">
        <v>65.29</v>
      </c>
      <c r="L69" s="76"/>
      <c r="M69" s="76"/>
      <c r="N69" s="266">
        <v>50</v>
      </c>
      <c r="O69" s="77" t="s">
        <v>265</v>
      </c>
    </row>
    <row r="70" ht="37.2" spans="1:15">
      <c r="A70" s="252" t="s">
        <v>132</v>
      </c>
      <c r="B70" s="73" t="s">
        <v>262</v>
      </c>
      <c r="C70" s="73" t="s">
        <v>166</v>
      </c>
      <c r="D70" s="73" t="s">
        <v>263</v>
      </c>
      <c r="E70" s="74" t="s">
        <v>138</v>
      </c>
      <c r="F70" s="241" t="s">
        <v>135</v>
      </c>
      <c r="G70" s="75" t="s">
        <v>266</v>
      </c>
      <c r="H70" s="76">
        <f t="shared" si="0"/>
        <v>382</v>
      </c>
      <c r="I70" s="76">
        <v>300</v>
      </c>
      <c r="J70" s="76">
        <f t="shared" si="2"/>
        <v>82</v>
      </c>
      <c r="K70" s="279">
        <v>82</v>
      </c>
      <c r="L70" s="76"/>
      <c r="M70" s="76"/>
      <c r="N70" s="266">
        <v>52</v>
      </c>
      <c r="O70" s="77" t="s">
        <v>267</v>
      </c>
    </row>
    <row r="71" ht="36" spans="1:15">
      <c r="A71" s="252" t="s">
        <v>132</v>
      </c>
      <c r="B71" s="73" t="s">
        <v>262</v>
      </c>
      <c r="C71" s="73" t="s">
        <v>268</v>
      </c>
      <c r="D71" s="73" t="s">
        <v>158</v>
      </c>
      <c r="E71" s="74" t="s">
        <v>138</v>
      </c>
      <c r="F71" s="241" t="s">
        <v>135</v>
      </c>
      <c r="G71" s="75" t="s">
        <v>269</v>
      </c>
      <c r="H71" s="76">
        <f t="shared" si="0"/>
        <v>35</v>
      </c>
      <c r="I71" s="76"/>
      <c r="J71" s="76">
        <f t="shared" si="2"/>
        <v>35</v>
      </c>
      <c r="K71" s="279">
        <v>35</v>
      </c>
      <c r="L71" s="76"/>
      <c r="M71" s="76"/>
      <c r="N71" s="266">
        <v>195</v>
      </c>
      <c r="O71" s="280" t="s">
        <v>270</v>
      </c>
    </row>
    <row r="72" ht="38.4" spans="1:15">
      <c r="A72" s="252" t="s">
        <v>132</v>
      </c>
      <c r="B72" s="73" t="s">
        <v>262</v>
      </c>
      <c r="C72" s="73" t="s">
        <v>263</v>
      </c>
      <c r="D72" s="73" t="s">
        <v>166</v>
      </c>
      <c r="E72" s="74" t="s">
        <v>138</v>
      </c>
      <c r="F72" s="241" t="s">
        <v>135</v>
      </c>
      <c r="G72" s="75" t="s">
        <v>271</v>
      </c>
      <c r="H72" s="76">
        <f t="shared" ref="H72:H135" si="4">I72+K72+L72+M72</f>
        <v>317.9</v>
      </c>
      <c r="I72" s="276">
        <v>211.8</v>
      </c>
      <c r="J72" s="76">
        <f t="shared" ref="J72:J135" si="5">K72+L72+M72</f>
        <v>106.1</v>
      </c>
      <c r="K72" s="279">
        <v>100</v>
      </c>
      <c r="L72" s="76"/>
      <c r="M72" s="76">
        <v>6.1</v>
      </c>
      <c r="N72" s="266">
        <v>60</v>
      </c>
      <c r="O72" s="77" t="s">
        <v>272</v>
      </c>
    </row>
    <row r="73" ht="39.6" spans="1:15">
      <c r="A73" s="252" t="s">
        <v>132</v>
      </c>
      <c r="B73" s="73" t="s">
        <v>262</v>
      </c>
      <c r="C73" s="73" t="s">
        <v>202</v>
      </c>
      <c r="D73" s="73" t="s">
        <v>149</v>
      </c>
      <c r="E73" s="74" t="s">
        <v>138</v>
      </c>
      <c r="F73" s="241" t="s">
        <v>135</v>
      </c>
      <c r="G73" s="75" t="s">
        <v>273</v>
      </c>
      <c r="H73" s="76">
        <f t="shared" si="4"/>
        <v>51.8</v>
      </c>
      <c r="I73" s="76">
        <v>25.9</v>
      </c>
      <c r="J73" s="76">
        <f t="shared" si="5"/>
        <v>25.9</v>
      </c>
      <c r="K73" s="279">
        <v>25.9</v>
      </c>
      <c r="L73" s="76"/>
      <c r="M73" s="76"/>
      <c r="N73" s="266">
        <v>25.9</v>
      </c>
      <c r="O73" s="77" t="s">
        <v>274</v>
      </c>
    </row>
    <row r="74" ht="66" spans="1:15">
      <c r="A74" s="252" t="s">
        <v>132</v>
      </c>
      <c r="B74" s="73" t="s">
        <v>262</v>
      </c>
      <c r="C74" s="73" t="s">
        <v>202</v>
      </c>
      <c r="D74" s="73" t="s">
        <v>166</v>
      </c>
      <c r="E74" s="74" t="s">
        <v>138</v>
      </c>
      <c r="F74" s="241" t="s">
        <v>135</v>
      </c>
      <c r="G74" s="75" t="s">
        <v>275</v>
      </c>
      <c r="H74" s="76">
        <f t="shared" si="4"/>
        <v>1683.07</v>
      </c>
      <c r="I74" s="296">
        <v>1267.88</v>
      </c>
      <c r="J74" s="76">
        <f t="shared" si="5"/>
        <v>415.19</v>
      </c>
      <c r="K74" s="276">
        <v>410.39</v>
      </c>
      <c r="L74" s="76"/>
      <c r="M74" s="76">
        <v>4.8</v>
      </c>
      <c r="N74" s="266">
        <v>7.46</v>
      </c>
      <c r="O74" s="274" t="s">
        <v>276</v>
      </c>
    </row>
    <row r="75" ht="36" spans="1:15">
      <c r="A75" s="252" t="s">
        <v>132</v>
      </c>
      <c r="B75" s="73" t="s">
        <v>133</v>
      </c>
      <c r="C75" s="73" t="s">
        <v>145</v>
      </c>
      <c r="D75" s="73" t="s">
        <v>202</v>
      </c>
      <c r="E75" s="74" t="s">
        <v>138</v>
      </c>
      <c r="F75" s="241" t="s">
        <v>135</v>
      </c>
      <c r="G75" s="75" t="s">
        <v>277</v>
      </c>
      <c r="H75" s="76">
        <f t="shared" si="4"/>
        <v>18</v>
      </c>
      <c r="I75" s="76"/>
      <c r="J75" s="76">
        <f t="shared" si="5"/>
        <v>18</v>
      </c>
      <c r="K75" s="279">
        <v>18</v>
      </c>
      <c r="L75" s="76"/>
      <c r="M75" s="76"/>
      <c r="N75" s="266">
        <v>30</v>
      </c>
      <c r="O75" s="281" t="s">
        <v>278</v>
      </c>
    </row>
    <row r="76" ht="36" spans="1:15">
      <c r="A76" s="252" t="s">
        <v>132</v>
      </c>
      <c r="B76" s="73" t="s">
        <v>262</v>
      </c>
      <c r="C76" s="73" t="s">
        <v>202</v>
      </c>
      <c r="D76" s="73" t="s">
        <v>149</v>
      </c>
      <c r="E76" s="74" t="s">
        <v>138</v>
      </c>
      <c r="F76" s="241" t="s">
        <v>135</v>
      </c>
      <c r="G76" s="75" t="s">
        <v>279</v>
      </c>
      <c r="H76" s="76">
        <f t="shared" si="4"/>
        <v>560</v>
      </c>
      <c r="I76" s="76"/>
      <c r="J76" s="76">
        <f t="shared" si="5"/>
        <v>560</v>
      </c>
      <c r="K76" s="279">
        <v>560</v>
      </c>
      <c r="L76" s="76"/>
      <c r="M76" s="76"/>
      <c r="N76" s="282">
        <v>391</v>
      </c>
      <c r="O76" s="267"/>
    </row>
    <row r="77" ht="49.2" spans="1:15">
      <c r="A77" s="252" t="s">
        <v>132</v>
      </c>
      <c r="B77" s="73" t="s">
        <v>262</v>
      </c>
      <c r="C77" s="73" t="s">
        <v>157</v>
      </c>
      <c r="D77" s="73" t="s">
        <v>149</v>
      </c>
      <c r="E77" s="74" t="s">
        <v>138</v>
      </c>
      <c r="F77" s="241" t="s">
        <v>135</v>
      </c>
      <c r="G77" s="75" t="s">
        <v>280</v>
      </c>
      <c r="H77" s="76">
        <f t="shared" si="4"/>
        <v>456.03</v>
      </c>
      <c r="I77" s="276">
        <v>256.03</v>
      </c>
      <c r="J77" s="76">
        <f t="shared" si="5"/>
        <v>200</v>
      </c>
      <c r="K77" s="283">
        <v>200</v>
      </c>
      <c r="L77" s="76"/>
      <c r="M77" s="76"/>
      <c r="N77" s="266">
        <v>65</v>
      </c>
      <c r="O77" s="79" t="s">
        <v>281</v>
      </c>
    </row>
    <row r="78" ht="39.6" spans="1:15">
      <c r="A78" s="252" t="s">
        <v>132</v>
      </c>
      <c r="B78" s="73" t="s">
        <v>262</v>
      </c>
      <c r="C78" s="73" t="s">
        <v>282</v>
      </c>
      <c r="D78" s="73" t="s">
        <v>225</v>
      </c>
      <c r="E78" s="74" t="s">
        <v>138</v>
      </c>
      <c r="F78" s="241" t="s">
        <v>135</v>
      </c>
      <c r="G78" s="75" t="s">
        <v>283</v>
      </c>
      <c r="H78" s="76">
        <f t="shared" si="4"/>
        <v>604.8</v>
      </c>
      <c r="I78" s="76">
        <v>302.4</v>
      </c>
      <c r="J78" s="76">
        <f t="shared" si="5"/>
        <v>302.4</v>
      </c>
      <c r="K78" s="279">
        <v>302.4</v>
      </c>
      <c r="L78" s="76"/>
      <c r="M78" s="76"/>
      <c r="N78" s="266">
        <v>302.4</v>
      </c>
      <c r="O78" s="80" t="s">
        <v>284</v>
      </c>
    </row>
    <row r="79" ht="36" spans="1:15">
      <c r="A79" s="252" t="s">
        <v>132</v>
      </c>
      <c r="B79" s="73" t="s">
        <v>262</v>
      </c>
      <c r="C79" s="73" t="s">
        <v>282</v>
      </c>
      <c r="D79" s="73" t="s">
        <v>225</v>
      </c>
      <c r="E79" s="74" t="s">
        <v>138</v>
      </c>
      <c r="F79" s="241" t="s">
        <v>135</v>
      </c>
      <c r="G79" s="75" t="s">
        <v>285</v>
      </c>
      <c r="H79" s="76">
        <f t="shared" si="4"/>
        <v>390.78</v>
      </c>
      <c r="I79" s="76">
        <v>260.52</v>
      </c>
      <c r="J79" s="76">
        <f t="shared" si="5"/>
        <v>130.26</v>
      </c>
      <c r="K79" s="279">
        <v>130.26</v>
      </c>
      <c r="L79" s="76"/>
      <c r="M79" s="76"/>
      <c r="N79" s="266">
        <v>130.26</v>
      </c>
      <c r="O79" s="77" t="s">
        <v>286</v>
      </c>
    </row>
    <row r="80" ht="36" spans="1:15">
      <c r="A80" s="252" t="s">
        <v>132</v>
      </c>
      <c r="B80" s="73" t="s">
        <v>262</v>
      </c>
      <c r="C80" s="73" t="s">
        <v>282</v>
      </c>
      <c r="D80" s="73" t="s">
        <v>225</v>
      </c>
      <c r="E80" s="74" t="s">
        <v>138</v>
      </c>
      <c r="F80" s="241" t="s">
        <v>135</v>
      </c>
      <c r="G80" s="75" t="s">
        <v>287</v>
      </c>
      <c r="H80" s="76">
        <f t="shared" si="4"/>
        <v>1000</v>
      </c>
      <c r="I80" s="76">
        <v>500</v>
      </c>
      <c r="J80" s="76">
        <f t="shared" si="5"/>
        <v>500</v>
      </c>
      <c r="K80" s="279">
        <v>500</v>
      </c>
      <c r="L80" s="76"/>
      <c r="M80" s="76"/>
      <c r="N80" s="266">
        <v>500</v>
      </c>
      <c r="O80" s="80" t="s">
        <v>288</v>
      </c>
    </row>
    <row r="81" ht="36" spans="1:15">
      <c r="A81" s="252" t="s">
        <v>132</v>
      </c>
      <c r="B81" s="73" t="s">
        <v>262</v>
      </c>
      <c r="C81" s="73" t="s">
        <v>225</v>
      </c>
      <c r="D81" s="73" t="s">
        <v>149</v>
      </c>
      <c r="E81" s="74" t="s">
        <v>138</v>
      </c>
      <c r="F81" s="241" t="s">
        <v>135</v>
      </c>
      <c r="G81" s="75" t="s">
        <v>289</v>
      </c>
      <c r="H81" s="76">
        <f t="shared" si="4"/>
        <v>6</v>
      </c>
      <c r="I81" s="76">
        <v>1</v>
      </c>
      <c r="J81" s="76">
        <f t="shared" si="5"/>
        <v>5</v>
      </c>
      <c r="K81" s="279">
        <v>5</v>
      </c>
      <c r="L81" s="76"/>
      <c r="M81" s="76"/>
      <c r="N81" s="266">
        <v>55</v>
      </c>
      <c r="O81" s="80"/>
    </row>
    <row r="82" ht="39.6" spans="1:15">
      <c r="A82" s="252" t="s">
        <v>132</v>
      </c>
      <c r="B82" s="73" t="s">
        <v>262</v>
      </c>
      <c r="C82" s="73" t="s">
        <v>290</v>
      </c>
      <c r="D82" s="73" t="s">
        <v>166</v>
      </c>
      <c r="E82" s="74" t="s">
        <v>138</v>
      </c>
      <c r="F82" s="241" t="s">
        <v>135</v>
      </c>
      <c r="G82" s="75" t="s">
        <v>291</v>
      </c>
      <c r="H82" s="76">
        <f t="shared" si="4"/>
        <v>2234.5</v>
      </c>
      <c r="I82" s="76">
        <v>1774</v>
      </c>
      <c r="J82" s="76">
        <f t="shared" si="5"/>
        <v>460.5</v>
      </c>
      <c r="K82" s="279">
        <v>460.5</v>
      </c>
      <c r="L82" s="76"/>
      <c r="M82" s="76"/>
      <c r="N82" s="266">
        <v>521</v>
      </c>
      <c r="O82" s="77" t="s">
        <v>292</v>
      </c>
    </row>
    <row r="83" ht="36" spans="1:15">
      <c r="A83" s="252" t="s">
        <v>132</v>
      </c>
      <c r="B83" s="73" t="s">
        <v>262</v>
      </c>
      <c r="C83" s="73" t="s">
        <v>282</v>
      </c>
      <c r="D83" s="73" t="s">
        <v>166</v>
      </c>
      <c r="E83" s="74" t="s">
        <v>138</v>
      </c>
      <c r="F83" s="241" t="s">
        <v>135</v>
      </c>
      <c r="G83" s="75" t="s">
        <v>293</v>
      </c>
      <c r="H83" s="76">
        <f t="shared" si="4"/>
        <v>7.44</v>
      </c>
      <c r="I83" s="76">
        <v>7.44</v>
      </c>
      <c r="J83" s="76">
        <f t="shared" si="5"/>
        <v>0</v>
      </c>
      <c r="K83" s="279">
        <v>0</v>
      </c>
      <c r="L83" s="76"/>
      <c r="M83" s="76"/>
      <c r="N83" s="266">
        <v>19.54</v>
      </c>
      <c r="O83" s="80"/>
    </row>
    <row r="84" ht="36" spans="1:15">
      <c r="A84" s="252" t="s">
        <v>132</v>
      </c>
      <c r="B84" s="73" t="s">
        <v>262</v>
      </c>
      <c r="C84" s="73" t="s">
        <v>225</v>
      </c>
      <c r="D84" s="73" t="s">
        <v>149</v>
      </c>
      <c r="E84" s="74" t="s">
        <v>138</v>
      </c>
      <c r="F84" s="241" t="s">
        <v>135</v>
      </c>
      <c r="G84" s="75" t="s">
        <v>294</v>
      </c>
      <c r="H84" s="76">
        <f t="shared" si="4"/>
        <v>10</v>
      </c>
      <c r="I84" s="76"/>
      <c r="J84" s="76">
        <f t="shared" si="5"/>
        <v>10</v>
      </c>
      <c r="K84" s="279">
        <v>10</v>
      </c>
      <c r="L84" s="76"/>
      <c r="M84" s="76"/>
      <c r="N84" s="266">
        <v>10</v>
      </c>
      <c r="O84" s="80"/>
    </row>
    <row r="85" ht="36" spans="1:15">
      <c r="A85" s="252" t="s">
        <v>132</v>
      </c>
      <c r="B85" s="73" t="s">
        <v>262</v>
      </c>
      <c r="C85" s="73" t="s">
        <v>295</v>
      </c>
      <c r="D85" s="73" t="s">
        <v>166</v>
      </c>
      <c r="E85" s="74" t="s">
        <v>138</v>
      </c>
      <c r="F85" s="241" t="s">
        <v>135</v>
      </c>
      <c r="G85" s="75" t="s">
        <v>296</v>
      </c>
      <c r="H85" s="76">
        <f t="shared" si="4"/>
        <v>614.27</v>
      </c>
      <c r="I85" s="76">
        <v>426.27</v>
      </c>
      <c r="J85" s="76">
        <f t="shared" si="5"/>
        <v>188</v>
      </c>
      <c r="K85" s="279">
        <v>188</v>
      </c>
      <c r="L85" s="76"/>
      <c r="M85" s="76"/>
      <c r="N85" s="266">
        <v>215</v>
      </c>
      <c r="O85" s="77" t="s">
        <v>297</v>
      </c>
    </row>
    <row r="86" ht="36" spans="1:15">
      <c r="A86" s="252" t="s">
        <v>132</v>
      </c>
      <c r="B86" s="73" t="s">
        <v>262</v>
      </c>
      <c r="C86" s="73" t="s">
        <v>225</v>
      </c>
      <c r="D86" s="73" t="s">
        <v>141</v>
      </c>
      <c r="E86" s="74" t="s">
        <v>138</v>
      </c>
      <c r="F86" s="241" t="s">
        <v>135</v>
      </c>
      <c r="G86" s="75" t="s">
        <v>298</v>
      </c>
      <c r="H86" s="76">
        <f t="shared" si="4"/>
        <v>10</v>
      </c>
      <c r="I86" s="76"/>
      <c r="J86" s="76">
        <f t="shared" si="5"/>
        <v>10</v>
      </c>
      <c r="K86" s="279">
        <v>10</v>
      </c>
      <c r="L86" s="76"/>
      <c r="M86" s="76"/>
      <c r="N86" s="266">
        <v>31</v>
      </c>
      <c r="O86" s="77"/>
    </row>
    <row r="87" ht="64.8" spans="1:15">
      <c r="A87" s="252" t="s">
        <v>132</v>
      </c>
      <c r="B87" s="73" t="s">
        <v>262</v>
      </c>
      <c r="C87" s="73" t="s">
        <v>282</v>
      </c>
      <c r="D87" s="73" t="s">
        <v>225</v>
      </c>
      <c r="E87" s="74" t="s">
        <v>138</v>
      </c>
      <c r="F87" s="241" t="s">
        <v>135</v>
      </c>
      <c r="G87" s="75" t="s">
        <v>299</v>
      </c>
      <c r="H87" s="76">
        <f t="shared" si="4"/>
        <v>71.64</v>
      </c>
      <c r="I87" s="76"/>
      <c r="J87" s="76">
        <f t="shared" si="5"/>
        <v>71.64</v>
      </c>
      <c r="K87" s="279">
        <v>71.64</v>
      </c>
      <c r="L87" s="76"/>
      <c r="M87" s="76"/>
      <c r="N87" s="266">
        <v>71.64</v>
      </c>
      <c r="O87" s="77" t="s">
        <v>300</v>
      </c>
    </row>
    <row r="88" ht="38.4" spans="1:15">
      <c r="A88" s="252" t="s">
        <v>132</v>
      </c>
      <c r="B88" s="73" t="s">
        <v>262</v>
      </c>
      <c r="C88" s="73" t="s">
        <v>282</v>
      </c>
      <c r="D88" s="73" t="s">
        <v>149</v>
      </c>
      <c r="E88" s="74" t="s">
        <v>138</v>
      </c>
      <c r="F88" s="241" t="s">
        <v>135</v>
      </c>
      <c r="G88" s="75" t="s">
        <v>301</v>
      </c>
      <c r="H88" s="76">
        <f t="shared" si="4"/>
        <v>8.82</v>
      </c>
      <c r="I88" s="76">
        <v>5.88</v>
      </c>
      <c r="J88" s="76">
        <f t="shared" si="5"/>
        <v>2.94</v>
      </c>
      <c r="K88" s="279">
        <v>2.94</v>
      </c>
      <c r="L88" s="76"/>
      <c r="M88" s="76"/>
      <c r="N88" s="266">
        <v>2.94</v>
      </c>
      <c r="O88" s="77" t="s">
        <v>302</v>
      </c>
    </row>
    <row r="89" ht="52.8" spans="1:15">
      <c r="A89" s="252" t="s">
        <v>132</v>
      </c>
      <c r="B89" s="73" t="s">
        <v>262</v>
      </c>
      <c r="C89" s="73" t="s">
        <v>157</v>
      </c>
      <c r="D89" s="73" t="s">
        <v>141</v>
      </c>
      <c r="E89" s="74" t="s">
        <v>138</v>
      </c>
      <c r="F89" s="241" t="s">
        <v>135</v>
      </c>
      <c r="G89" s="75" t="s">
        <v>303</v>
      </c>
      <c r="H89" s="76">
        <f t="shared" si="4"/>
        <v>367</v>
      </c>
      <c r="I89" s="76">
        <v>213</v>
      </c>
      <c r="J89" s="76">
        <f t="shared" si="5"/>
        <v>154</v>
      </c>
      <c r="K89" s="279">
        <v>154</v>
      </c>
      <c r="L89" s="76"/>
      <c r="M89" s="76"/>
      <c r="N89" s="266">
        <v>154</v>
      </c>
      <c r="O89" s="79" t="s">
        <v>304</v>
      </c>
    </row>
    <row r="90" ht="36" spans="1:15">
      <c r="A90" s="252" t="s">
        <v>132</v>
      </c>
      <c r="B90" s="73" t="s">
        <v>305</v>
      </c>
      <c r="C90" s="73" t="s">
        <v>306</v>
      </c>
      <c r="D90" s="73" t="s">
        <v>225</v>
      </c>
      <c r="E90" s="74" t="s">
        <v>138</v>
      </c>
      <c r="F90" s="241" t="s">
        <v>135</v>
      </c>
      <c r="G90" s="75" t="s">
        <v>307</v>
      </c>
      <c r="H90" s="76">
        <f t="shared" si="4"/>
        <v>160</v>
      </c>
      <c r="I90" s="76"/>
      <c r="J90" s="76">
        <f t="shared" si="5"/>
        <v>160</v>
      </c>
      <c r="K90" s="279">
        <v>160</v>
      </c>
      <c r="L90" s="76"/>
      <c r="M90" s="76"/>
      <c r="N90" s="266">
        <v>80</v>
      </c>
      <c r="O90" s="79" t="s">
        <v>308</v>
      </c>
    </row>
    <row r="91" ht="36" spans="1:15">
      <c r="A91" s="252" t="s">
        <v>132</v>
      </c>
      <c r="B91" s="73" t="s">
        <v>262</v>
      </c>
      <c r="C91" s="73" t="s">
        <v>166</v>
      </c>
      <c r="D91" s="73" t="s">
        <v>263</v>
      </c>
      <c r="E91" s="74" t="s">
        <v>138</v>
      </c>
      <c r="F91" s="241" t="s">
        <v>135</v>
      </c>
      <c r="G91" s="75" t="s">
        <v>309</v>
      </c>
      <c r="H91" s="76">
        <f t="shared" si="4"/>
        <v>1</v>
      </c>
      <c r="I91" s="76"/>
      <c r="J91" s="76">
        <f t="shared" si="5"/>
        <v>1</v>
      </c>
      <c r="K91" s="279">
        <v>1</v>
      </c>
      <c r="L91" s="76"/>
      <c r="M91" s="76"/>
      <c r="N91" s="266">
        <v>1</v>
      </c>
      <c r="O91" s="79" t="s">
        <v>286</v>
      </c>
    </row>
    <row r="92" ht="48" spans="1:15">
      <c r="A92" s="252" t="s">
        <v>132</v>
      </c>
      <c r="B92" s="73" t="s">
        <v>305</v>
      </c>
      <c r="C92" s="73" t="s">
        <v>310</v>
      </c>
      <c r="D92" s="73" t="s">
        <v>179</v>
      </c>
      <c r="E92" s="74" t="s">
        <v>138</v>
      </c>
      <c r="F92" s="241" t="s">
        <v>135</v>
      </c>
      <c r="G92" s="75" t="s">
        <v>311</v>
      </c>
      <c r="H92" s="76">
        <f t="shared" si="4"/>
        <v>30</v>
      </c>
      <c r="I92" s="76"/>
      <c r="J92" s="76">
        <f t="shared" si="5"/>
        <v>30</v>
      </c>
      <c r="K92" s="279">
        <v>30</v>
      </c>
      <c r="L92" s="76"/>
      <c r="M92" s="76"/>
      <c r="N92" s="266">
        <v>40</v>
      </c>
      <c r="O92" s="79" t="s">
        <v>286</v>
      </c>
    </row>
    <row r="93" ht="36" spans="1:15">
      <c r="A93" s="252" t="s">
        <v>132</v>
      </c>
      <c r="B93" s="73" t="s">
        <v>305</v>
      </c>
      <c r="C93" s="73" t="s">
        <v>310</v>
      </c>
      <c r="D93" s="73" t="s">
        <v>149</v>
      </c>
      <c r="E93" s="74" t="s">
        <v>138</v>
      </c>
      <c r="F93" s="241" t="s">
        <v>135</v>
      </c>
      <c r="G93" s="75" t="s">
        <v>312</v>
      </c>
      <c r="H93" s="76">
        <f t="shared" si="4"/>
        <v>50</v>
      </c>
      <c r="I93" s="76"/>
      <c r="J93" s="76">
        <f t="shared" si="5"/>
        <v>50</v>
      </c>
      <c r="K93" s="279">
        <v>50</v>
      </c>
      <c r="L93" s="76"/>
      <c r="M93" s="76"/>
      <c r="N93" s="266">
        <v>50</v>
      </c>
      <c r="O93" s="79" t="s">
        <v>286</v>
      </c>
    </row>
    <row r="94" ht="36" spans="1:15">
      <c r="A94" s="252" t="s">
        <v>132</v>
      </c>
      <c r="B94" s="73" t="s">
        <v>305</v>
      </c>
      <c r="C94" s="73" t="s">
        <v>201</v>
      </c>
      <c r="D94" s="73" t="s">
        <v>166</v>
      </c>
      <c r="E94" s="74" t="s">
        <v>138</v>
      </c>
      <c r="F94" s="241" t="s">
        <v>135</v>
      </c>
      <c r="G94" s="75" t="s">
        <v>313</v>
      </c>
      <c r="H94" s="76">
        <f t="shared" si="4"/>
        <v>410</v>
      </c>
      <c r="I94" s="76">
        <v>210</v>
      </c>
      <c r="J94" s="76">
        <f t="shared" si="5"/>
        <v>200</v>
      </c>
      <c r="K94" s="279">
        <v>200</v>
      </c>
      <c r="L94" s="76"/>
      <c r="M94" s="76"/>
      <c r="N94" s="266">
        <v>200</v>
      </c>
      <c r="O94" s="79" t="s">
        <v>286</v>
      </c>
    </row>
    <row r="95" ht="36" spans="1:15">
      <c r="A95" s="252" t="s">
        <v>132</v>
      </c>
      <c r="B95" s="73" t="s">
        <v>305</v>
      </c>
      <c r="C95" s="73" t="s">
        <v>306</v>
      </c>
      <c r="D95" s="73" t="s">
        <v>225</v>
      </c>
      <c r="E95" s="74" t="s">
        <v>138</v>
      </c>
      <c r="F95" s="241" t="s">
        <v>135</v>
      </c>
      <c r="G95" s="75" t="s">
        <v>314</v>
      </c>
      <c r="H95" s="76">
        <f t="shared" si="4"/>
        <v>4459</v>
      </c>
      <c r="I95" s="76">
        <v>3089</v>
      </c>
      <c r="J95" s="76">
        <f t="shared" si="5"/>
        <v>1370</v>
      </c>
      <c r="K95" s="279">
        <v>1370</v>
      </c>
      <c r="L95" s="76"/>
      <c r="M95" s="76"/>
      <c r="N95" s="266">
        <v>1370</v>
      </c>
      <c r="O95" s="79" t="s">
        <v>286</v>
      </c>
    </row>
    <row r="96" ht="36" spans="1:15">
      <c r="A96" s="252" t="s">
        <v>132</v>
      </c>
      <c r="B96" s="73" t="s">
        <v>262</v>
      </c>
      <c r="C96" s="73" t="s">
        <v>166</v>
      </c>
      <c r="D96" s="73" t="s">
        <v>263</v>
      </c>
      <c r="E96" s="74" t="s">
        <v>138</v>
      </c>
      <c r="F96" s="241" t="s">
        <v>210</v>
      </c>
      <c r="G96" s="75" t="s">
        <v>315</v>
      </c>
      <c r="H96" s="76">
        <f t="shared" si="4"/>
        <v>2</v>
      </c>
      <c r="I96" s="76"/>
      <c r="J96" s="76">
        <f t="shared" si="5"/>
        <v>2</v>
      </c>
      <c r="K96" s="279">
        <v>2</v>
      </c>
      <c r="L96" s="76"/>
      <c r="M96" s="76"/>
      <c r="N96" s="266">
        <v>2</v>
      </c>
      <c r="O96" s="79" t="s">
        <v>286</v>
      </c>
    </row>
    <row r="97" ht="36" spans="1:15">
      <c r="A97" s="252" t="s">
        <v>132</v>
      </c>
      <c r="B97" s="73" t="s">
        <v>305</v>
      </c>
      <c r="C97" s="73" t="s">
        <v>158</v>
      </c>
      <c r="D97" s="253" t="s">
        <v>263</v>
      </c>
      <c r="E97" s="74" t="s">
        <v>138</v>
      </c>
      <c r="F97" s="241" t="s">
        <v>135</v>
      </c>
      <c r="G97" s="75" t="s">
        <v>316</v>
      </c>
      <c r="H97" s="76">
        <f t="shared" si="4"/>
        <v>957.05</v>
      </c>
      <c r="I97" s="76">
        <v>87.05</v>
      </c>
      <c r="J97" s="76">
        <f t="shared" si="5"/>
        <v>870</v>
      </c>
      <c r="K97" s="279">
        <v>150</v>
      </c>
      <c r="L97" s="76"/>
      <c r="M97" s="76">
        <v>720</v>
      </c>
      <c r="N97" s="266">
        <v>1505</v>
      </c>
      <c r="O97" s="77" t="s">
        <v>317</v>
      </c>
    </row>
    <row r="98" ht="118.8" spans="1:15">
      <c r="A98" s="252" t="s">
        <v>132</v>
      </c>
      <c r="B98" s="73" t="s">
        <v>305</v>
      </c>
      <c r="C98" s="73" t="s">
        <v>141</v>
      </c>
      <c r="D98" s="73" t="s">
        <v>149</v>
      </c>
      <c r="E98" s="74" t="s">
        <v>138</v>
      </c>
      <c r="F98" s="241" t="s">
        <v>135</v>
      </c>
      <c r="G98" s="75" t="s">
        <v>318</v>
      </c>
      <c r="H98" s="76">
        <f t="shared" si="4"/>
        <v>1202.51</v>
      </c>
      <c r="I98" s="76">
        <v>764.12</v>
      </c>
      <c r="J98" s="76">
        <f t="shared" si="5"/>
        <v>438.39</v>
      </c>
      <c r="K98" s="76">
        <v>438.39</v>
      </c>
      <c r="L98" s="76"/>
      <c r="M98" s="76"/>
      <c r="N98" s="266">
        <v>525.74</v>
      </c>
      <c r="O98" s="77" t="s">
        <v>319</v>
      </c>
    </row>
    <row r="99" ht="158.4" spans="1:15">
      <c r="A99" s="252" t="s">
        <v>132</v>
      </c>
      <c r="B99" s="73" t="s">
        <v>305</v>
      </c>
      <c r="C99" s="73" t="s">
        <v>158</v>
      </c>
      <c r="D99" s="73" t="s">
        <v>202</v>
      </c>
      <c r="E99" s="74" t="s">
        <v>138</v>
      </c>
      <c r="F99" s="241" t="s">
        <v>135</v>
      </c>
      <c r="G99" s="75" t="s">
        <v>320</v>
      </c>
      <c r="H99" s="76">
        <f t="shared" si="4"/>
        <v>2931.29</v>
      </c>
      <c r="I99" s="76">
        <v>2048.49</v>
      </c>
      <c r="J99" s="76">
        <f t="shared" si="5"/>
        <v>882.8</v>
      </c>
      <c r="K99" s="76">
        <v>882.8</v>
      </c>
      <c r="L99" s="76"/>
      <c r="M99" s="76"/>
      <c r="N99" s="266">
        <v>1779.11</v>
      </c>
      <c r="O99" s="77" t="s">
        <v>321</v>
      </c>
    </row>
    <row r="100" ht="38.4" spans="1:15">
      <c r="A100" s="252" t="s">
        <v>132</v>
      </c>
      <c r="B100" s="73" t="s">
        <v>305</v>
      </c>
      <c r="C100" s="73" t="s">
        <v>260</v>
      </c>
      <c r="D100" s="73" t="s">
        <v>166</v>
      </c>
      <c r="E100" s="74" t="s">
        <v>138</v>
      </c>
      <c r="F100" s="241" t="s">
        <v>210</v>
      </c>
      <c r="G100" s="75" t="s">
        <v>322</v>
      </c>
      <c r="H100" s="76">
        <f t="shared" si="4"/>
        <v>22</v>
      </c>
      <c r="I100" s="76"/>
      <c r="J100" s="76">
        <f t="shared" si="5"/>
        <v>22</v>
      </c>
      <c r="K100" s="76">
        <v>22</v>
      </c>
      <c r="L100" s="76"/>
      <c r="M100" s="76"/>
      <c r="N100" s="266">
        <v>31</v>
      </c>
      <c r="O100" s="80" t="s">
        <v>323</v>
      </c>
    </row>
    <row r="101" ht="49.2" spans="1:15">
      <c r="A101" s="252" t="s">
        <v>132</v>
      </c>
      <c r="B101" s="73" t="s">
        <v>305</v>
      </c>
      <c r="C101" s="73" t="s">
        <v>158</v>
      </c>
      <c r="D101" s="73" t="s">
        <v>166</v>
      </c>
      <c r="E101" s="74" t="s">
        <v>138</v>
      </c>
      <c r="F101" s="241" t="s">
        <v>135</v>
      </c>
      <c r="G101" s="75" t="s">
        <v>324</v>
      </c>
      <c r="H101" s="76">
        <f t="shared" si="4"/>
        <v>100</v>
      </c>
      <c r="I101" s="76"/>
      <c r="J101" s="76">
        <f t="shared" si="5"/>
        <v>100</v>
      </c>
      <c r="K101" s="284">
        <v>100</v>
      </c>
      <c r="L101" s="76"/>
      <c r="M101" s="76"/>
      <c r="N101" s="266">
        <v>13</v>
      </c>
      <c r="O101" s="79" t="s">
        <v>325</v>
      </c>
    </row>
    <row r="102" ht="36" spans="1:15">
      <c r="A102" s="252" t="s">
        <v>132</v>
      </c>
      <c r="B102" s="73" t="s">
        <v>305</v>
      </c>
      <c r="C102" s="73" t="s">
        <v>158</v>
      </c>
      <c r="D102" s="73" t="s">
        <v>166</v>
      </c>
      <c r="E102" s="74" t="s">
        <v>138</v>
      </c>
      <c r="F102" s="241" t="s">
        <v>135</v>
      </c>
      <c r="G102" s="75" t="s">
        <v>326</v>
      </c>
      <c r="H102" s="76">
        <f t="shared" si="4"/>
        <v>12</v>
      </c>
      <c r="I102" s="76"/>
      <c r="J102" s="76">
        <f t="shared" si="5"/>
        <v>12</v>
      </c>
      <c r="K102" s="285">
        <v>12</v>
      </c>
      <c r="L102" s="76"/>
      <c r="M102" s="76"/>
      <c r="N102" s="266">
        <v>14</v>
      </c>
      <c r="O102" s="80"/>
    </row>
    <row r="103" ht="36" spans="1:15">
      <c r="A103" s="252" t="s">
        <v>132</v>
      </c>
      <c r="B103" s="73" t="s">
        <v>305</v>
      </c>
      <c r="C103" s="73" t="s">
        <v>158</v>
      </c>
      <c r="D103" s="73" t="s">
        <v>149</v>
      </c>
      <c r="E103" s="74" t="s">
        <v>138</v>
      </c>
      <c r="F103" s="241" t="s">
        <v>135</v>
      </c>
      <c r="G103" s="75" t="s">
        <v>327</v>
      </c>
      <c r="H103" s="76">
        <f t="shared" si="4"/>
        <v>45</v>
      </c>
      <c r="I103" s="76"/>
      <c r="J103" s="76">
        <f t="shared" si="5"/>
        <v>45</v>
      </c>
      <c r="K103" s="279">
        <v>45</v>
      </c>
      <c r="L103" s="76"/>
      <c r="M103" s="76"/>
      <c r="N103" s="266">
        <v>45</v>
      </c>
      <c r="O103" s="79" t="s">
        <v>328</v>
      </c>
    </row>
    <row r="104" ht="37.2" spans="1:15">
      <c r="A104" s="252" t="s">
        <v>132</v>
      </c>
      <c r="B104" s="73" t="s">
        <v>305</v>
      </c>
      <c r="C104" s="73" t="s">
        <v>158</v>
      </c>
      <c r="D104" s="73" t="s">
        <v>145</v>
      </c>
      <c r="E104" s="74" t="s">
        <v>138</v>
      </c>
      <c r="F104" s="241" t="s">
        <v>135</v>
      </c>
      <c r="G104" s="75" t="s">
        <v>329</v>
      </c>
      <c r="H104" s="76">
        <f t="shared" si="4"/>
        <v>48.92</v>
      </c>
      <c r="I104" s="76">
        <v>24.46</v>
      </c>
      <c r="J104" s="76">
        <f t="shared" si="5"/>
        <v>24.46</v>
      </c>
      <c r="K104" s="279">
        <v>24.46</v>
      </c>
      <c r="L104" s="76"/>
      <c r="M104" s="76"/>
      <c r="N104" s="266">
        <v>21</v>
      </c>
      <c r="O104" s="77" t="s">
        <v>330</v>
      </c>
    </row>
    <row r="105" ht="36" spans="1:15">
      <c r="A105" s="252" t="s">
        <v>132</v>
      </c>
      <c r="B105" s="73" t="s">
        <v>305</v>
      </c>
      <c r="C105" s="73" t="s">
        <v>158</v>
      </c>
      <c r="D105" s="73" t="s">
        <v>145</v>
      </c>
      <c r="E105" s="74" t="s">
        <v>138</v>
      </c>
      <c r="F105" s="241" t="s">
        <v>135</v>
      </c>
      <c r="G105" s="75" t="s">
        <v>331</v>
      </c>
      <c r="H105" s="76">
        <f t="shared" si="4"/>
        <v>33.04</v>
      </c>
      <c r="I105" s="76">
        <v>16.53</v>
      </c>
      <c r="J105" s="76">
        <f t="shared" si="5"/>
        <v>16.51</v>
      </c>
      <c r="K105" s="279">
        <v>16.51</v>
      </c>
      <c r="L105" s="76"/>
      <c r="M105" s="76"/>
      <c r="N105" s="266">
        <v>16.51</v>
      </c>
      <c r="O105" s="77" t="s">
        <v>332</v>
      </c>
    </row>
    <row r="106" ht="36" spans="1:15">
      <c r="A106" s="252" t="s">
        <v>132</v>
      </c>
      <c r="B106" s="73" t="s">
        <v>305</v>
      </c>
      <c r="C106" s="73" t="s">
        <v>158</v>
      </c>
      <c r="D106" s="73" t="s">
        <v>145</v>
      </c>
      <c r="E106" s="74" t="s">
        <v>138</v>
      </c>
      <c r="F106" s="241" t="s">
        <v>135</v>
      </c>
      <c r="G106" s="75" t="s">
        <v>333</v>
      </c>
      <c r="H106" s="76">
        <f t="shared" si="4"/>
        <v>13</v>
      </c>
      <c r="I106" s="76"/>
      <c r="J106" s="76">
        <f t="shared" si="5"/>
        <v>13</v>
      </c>
      <c r="K106" s="279">
        <v>13</v>
      </c>
      <c r="L106" s="76"/>
      <c r="M106" s="76"/>
      <c r="N106" s="266">
        <v>13</v>
      </c>
      <c r="O106" s="80" t="s">
        <v>334</v>
      </c>
    </row>
    <row r="107" ht="36" spans="1:15">
      <c r="A107" s="252" t="s">
        <v>132</v>
      </c>
      <c r="B107" s="73" t="s">
        <v>305</v>
      </c>
      <c r="C107" s="73" t="s">
        <v>158</v>
      </c>
      <c r="D107" s="73" t="s">
        <v>145</v>
      </c>
      <c r="E107" s="74" t="s">
        <v>138</v>
      </c>
      <c r="F107" s="241" t="s">
        <v>210</v>
      </c>
      <c r="G107" s="75" t="s">
        <v>335</v>
      </c>
      <c r="H107" s="76">
        <f t="shared" si="4"/>
        <v>4.37</v>
      </c>
      <c r="I107" s="76"/>
      <c r="J107" s="76">
        <f t="shared" si="5"/>
        <v>4.37</v>
      </c>
      <c r="K107" s="279">
        <v>4.37</v>
      </c>
      <c r="L107" s="76"/>
      <c r="M107" s="76"/>
      <c r="N107" s="266">
        <v>4.37</v>
      </c>
      <c r="O107" s="80"/>
    </row>
    <row r="108" ht="36" spans="1:15">
      <c r="A108" s="252" t="s">
        <v>132</v>
      </c>
      <c r="B108" s="73" t="s">
        <v>336</v>
      </c>
      <c r="C108" s="73" t="s">
        <v>145</v>
      </c>
      <c r="D108" s="73" t="s">
        <v>149</v>
      </c>
      <c r="E108" s="74" t="s">
        <v>138</v>
      </c>
      <c r="F108" s="241" t="s">
        <v>135</v>
      </c>
      <c r="G108" s="75" t="s">
        <v>337</v>
      </c>
      <c r="H108" s="76">
        <f t="shared" si="4"/>
        <v>80</v>
      </c>
      <c r="I108" s="76"/>
      <c r="J108" s="76">
        <f t="shared" si="5"/>
        <v>80</v>
      </c>
      <c r="K108" s="76">
        <v>80</v>
      </c>
      <c r="L108" s="76"/>
      <c r="M108" s="76"/>
      <c r="N108" s="266">
        <v>80</v>
      </c>
      <c r="O108" s="80" t="s">
        <v>338</v>
      </c>
    </row>
    <row r="109" ht="36" spans="1:15">
      <c r="A109" s="252" t="s">
        <v>132</v>
      </c>
      <c r="B109" s="73" t="s">
        <v>133</v>
      </c>
      <c r="C109" s="73" t="s">
        <v>149</v>
      </c>
      <c r="D109" s="73" t="s">
        <v>149</v>
      </c>
      <c r="E109" s="74" t="s">
        <v>138</v>
      </c>
      <c r="F109" s="241" t="s">
        <v>135</v>
      </c>
      <c r="G109" s="75" t="s">
        <v>339</v>
      </c>
      <c r="H109" s="76">
        <f t="shared" si="4"/>
        <v>200</v>
      </c>
      <c r="I109" s="76">
        <v>100</v>
      </c>
      <c r="J109" s="76">
        <f t="shared" si="5"/>
        <v>100</v>
      </c>
      <c r="K109" s="76">
        <v>100</v>
      </c>
      <c r="L109" s="76"/>
      <c r="M109" s="76"/>
      <c r="N109" s="266">
        <v>100</v>
      </c>
      <c r="O109" s="77" t="s">
        <v>340</v>
      </c>
    </row>
    <row r="110" ht="36" spans="1:15">
      <c r="A110" s="252" t="s">
        <v>132</v>
      </c>
      <c r="B110" s="243">
        <v>211</v>
      </c>
      <c r="C110" s="73" t="s">
        <v>145</v>
      </c>
      <c r="D110" s="73" t="s">
        <v>225</v>
      </c>
      <c r="E110" s="74" t="s">
        <v>138</v>
      </c>
      <c r="F110" s="241" t="s">
        <v>135</v>
      </c>
      <c r="G110" s="75" t="s">
        <v>341</v>
      </c>
      <c r="H110" s="76">
        <f t="shared" si="4"/>
        <v>2375.3</v>
      </c>
      <c r="I110" s="76">
        <v>1997.3</v>
      </c>
      <c r="J110" s="76">
        <f t="shared" si="5"/>
        <v>378</v>
      </c>
      <c r="K110" s="76"/>
      <c r="L110" s="76"/>
      <c r="M110" s="76">
        <f>120+258</f>
        <v>378</v>
      </c>
      <c r="N110" s="266">
        <v>3328.04</v>
      </c>
      <c r="O110" s="274" t="s">
        <v>342</v>
      </c>
    </row>
    <row r="111" ht="36" spans="1:15">
      <c r="A111" s="252" t="s">
        <v>132</v>
      </c>
      <c r="B111" s="243">
        <v>224</v>
      </c>
      <c r="C111" s="73" t="s">
        <v>179</v>
      </c>
      <c r="D111" s="73" t="s">
        <v>166</v>
      </c>
      <c r="E111" s="74" t="s">
        <v>138</v>
      </c>
      <c r="F111" s="241" t="s">
        <v>135</v>
      </c>
      <c r="G111" s="75" t="s">
        <v>343</v>
      </c>
      <c r="H111" s="76">
        <f t="shared" si="4"/>
        <v>665</v>
      </c>
      <c r="I111" s="76">
        <v>455</v>
      </c>
      <c r="J111" s="76">
        <f t="shared" si="5"/>
        <v>210</v>
      </c>
      <c r="K111" s="76"/>
      <c r="L111" s="76"/>
      <c r="M111" s="76">
        <v>210</v>
      </c>
      <c r="N111" s="266">
        <v>359</v>
      </c>
      <c r="O111" s="274" t="s">
        <v>344</v>
      </c>
    </row>
    <row r="112" ht="36" spans="1:15">
      <c r="A112" s="252" t="s">
        <v>132</v>
      </c>
      <c r="B112" s="73" t="s">
        <v>336</v>
      </c>
      <c r="C112" s="73" t="s">
        <v>145</v>
      </c>
      <c r="D112" s="73" t="s">
        <v>149</v>
      </c>
      <c r="E112" s="74" t="s">
        <v>138</v>
      </c>
      <c r="F112" s="241" t="s">
        <v>135</v>
      </c>
      <c r="G112" s="75" t="s">
        <v>345</v>
      </c>
      <c r="H112" s="76">
        <f t="shared" si="4"/>
        <v>3719</v>
      </c>
      <c r="I112" s="76">
        <v>1354</v>
      </c>
      <c r="J112" s="76">
        <f t="shared" si="5"/>
        <v>2365</v>
      </c>
      <c r="K112" s="76"/>
      <c r="L112" s="76"/>
      <c r="M112" s="76">
        <v>2365</v>
      </c>
      <c r="N112" s="266">
        <v>16785.44</v>
      </c>
      <c r="O112" s="274" t="s">
        <v>346</v>
      </c>
    </row>
    <row r="113" ht="36" spans="1:15">
      <c r="A113" s="252" t="s">
        <v>132</v>
      </c>
      <c r="B113" s="73" t="s">
        <v>347</v>
      </c>
      <c r="C113" s="73" t="s">
        <v>149</v>
      </c>
      <c r="D113" s="73" t="s">
        <v>149</v>
      </c>
      <c r="E113" s="74" t="s">
        <v>138</v>
      </c>
      <c r="F113" s="241" t="s">
        <v>135</v>
      </c>
      <c r="G113" s="75" t="s">
        <v>348</v>
      </c>
      <c r="H113" s="76">
        <f t="shared" si="4"/>
        <v>53</v>
      </c>
      <c r="I113" s="76"/>
      <c r="J113" s="76">
        <f t="shared" si="5"/>
        <v>53</v>
      </c>
      <c r="K113" s="76">
        <v>53</v>
      </c>
      <c r="L113" s="76"/>
      <c r="M113" s="76"/>
      <c r="N113" s="266">
        <v>24</v>
      </c>
      <c r="O113" s="77" t="s">
        <v>349</v>
      </c>
    </row>
    <row r="114" ht="36" spans="1:15">
      <c r="A114" s="252" t="s">
        <v>132</v>
      </c>
      <c r="B114" s="73" t="s">
        <v>347</v>
      </c>
      <c r="C114" s="73" t="s">
        <v>149</v>
      </c>
      <c r="D114" s="73" t="s">
        <v>149</v>
      </c>
      <c r="E114" s="74" t="s">
        <v>138</v>
      </c>
      <c r="F114" s="241" t="s">
        <v>135</v>
      </c>
      <c r="G114" s="83" t="s">
        <v>350</v>
      </c>
      <c r="H114" s="76">
        <f t="shared" si="4"/>
        <v>457</v>
      </c>
      <c r="I114" s="76"/>
      <c r="J114" s="76">
        <f t="shared" si="5"/>
        <v>457</v>
      </c>
      <c r="K114" s="76">
        <v>10</v>
      </c>
      <c r="L114" s="76"/>
      <c r="M114" s="76">
        <v>447</v>
      </c>
      <c r="N114" s="266">
        <v>500</v>
      </c>
      <c r="O114" s="77" t="s">
        <v>351</v>
      </c>
    </row>
    <row r="115" ht="39.6" spans="1:15">
      <c r="A115" s="252" t="s">
        <v>132</v>
      </c>
      <c r="B115" s="73" t="s">
        <v>336</v>
      </c>
      <c r="C115" s="73" t="s">
        <v>142</v>
      </c>
      <c r="D115" s="73" t="s">
        <v>166</v>
      </c>
      <c r="E115" s="74" t="s">
        <v>138</v>
      </c>
      <c r="F115" s="241" t="s">
        <v>135</v>
      </c>
      <c r="G115" s="75" t="s">
        <v>352</v>
      </c>
      <c r="H115" s="76">
        <f t="shared" si="4"/>
        <v>929</v>
      </c>
      <c r="I115" s="76"/>
      <c r="J115" s="76">
        <f t="shared" si="5"/>
        <v>929</v>
      </c>
      <c r="K115" s="76">
        <v>859</v>
      </c>
      <c r="L115" s="76">
        <v>70</v>
      </c>
      <c r="M115" s="76"/>
      <c r="N115" s="266">
        <v>966</v>
      </c>
      <c r="O115" s="77" t="s">
        <v>353</v>
      </c>
    </row>
    <row r="116" ht="36" spans="1:15">
      <c r="A116" s="252" t="s">
        <v>132</v>
      </c>
      <c r="B116" s="73" t="s">
        <v>336</v>
      </c>
      <c r="C116" s="73" t="s">
        <v>166</v>
      </c>
      <c r="D116" s="73" t="s">
        <v>149</v>
      </c>
      <c r="E116" s="74" t="s">
        <v>138</v>
      </c>
      <c r="F116" s="241" t="s">
        <v>135</v>
      </c>
      <c r="G116" s="75" t="s">
        <v>354</v>
      </c>
      <c r="H116" s="76">
        <f t="shared" si="4"/>
        <v>700</v>
      </c>
      <c r="I116" s="76">
        <v>500</v>
      </c>
      <c r="J116" s="76">
        <f t="shared" si="5"/>
        <v>200</v>
      </c>
      <c r="K116" s="76">
        <v>200</v>
      </c>
      <c r="L116" s="76"/>
      <c r="M116" s="76"/>
      <c r="N116" s="266">
        <v>890</v>
      </c>
      <c r="O116" s="77" t="s">
        <v>355</v>
      </c>
    </row>
    <row r="117" ht="36" spans="1:15">
      <c r="A117" s="252" t="s">
        <v>132</v>
      </c>
      <c r="B117" s="73" t="s">
        <v>336</v>
      </c>
      <c r="C117" s="73" t="s">
        <v>166</v>
      </c>
      <c r="D117" s="73" t="s">
        <v>149</v>
      </c>
      <c r="E117" s="74" t="s">
        <v>138</v>
      </c>
      <c r="F117" s="241" t="s">
        <v>135</v>
      </c>
      <c r="G117" s="75" t="s">
        <v>356</v>
      </c>
      <c r="H117" s="76">
        <f t="shared" si="4"/>
        <v>527.49</v>
      </c>
      <c r="I117" s="76"/>
      <c r="J117" s="76">
        <f t="shared" si="5"/>
        <v>527.49</v>
      </c>
      <c r="K117" s="76">
        <v>527.49</v>
      </c>
      <c r="L117" s="76"/>
      <c r="M117" s="76"/>
      <c r="N117" s="266">
        <v>527.49</v>
      </c>
      <c r="O117" s="77" t="s">
        <v>357</v>
      </c>
    </row>
    <row r="118" ht="36" spans="1:15">
      <c r="A118" s="252" t="s">
        <v>132</v>
      </c>
      <c r="B118" s="73" t="s">
        <v>336</v>
      </c>
      <c r="C118" s="73" t="s">
        <v>166</v>
      </c>
      <c r="D118" s="73" t="s">
        <v>149</v>
      </c>
      <c r="E118" s="74" t="s">
        <v>138</v>
      </c>
      <c r="F118" s="241" t="s">
        <v>135</v>
      </c>
      <c r="G118" s="75" t="s">
        <v>358</v>
      </c>
      <c r="H118" s="76">
        <f t="shared" si="4"/>
        <v>436.5</v>
      </c>
      <c r="I118" s="76"/>
      <c r="J118" s="76">
        <f t="shared" si="5"/>
        <v>436.5</v>
      </c>
      <c r="K118" s="76">
        <v>436.5</v>
      </c>
      <c r="L118" s="76"/>
      <c r="M118" s="76"/>
      <c r="N118" s="266">
        <v>1315.75</v>
      </c>
      <c r="O118" s="77" t="s">
        <v>359</v>
      </c>
    </row>
    <row r="119" ht="36" spans="1:15">
      <c r="A119" s="252" t="s">
        <v>132</v>
      </c>
      <c r="B119" s="73" t="s">
        <v>336</v>
      </c>
      <c r="C119" s="73" t="s">
        <v>166</v>
      </c>
      <c r="D119" s="73" t="s">
        <v>149</v>
      </c>
      <c r="E119" s="74" t="s">
        <v>138</v>
      </c>
      <c r="F119" s="241" t="s">
        <v>135</v>
      </c>
      <c r="G119" s="75" t="s">
        <v>360</v>
      </c>
      <c r="H119" s="76">
        <f t="shared" si="4"/>
        <v>250</v>
      </c>
      <c r="I119" s="76"/>
      <c r="J119" s="76">
        <f t="shared" si="5"/>
        <v>250</v>
      </c>
      <c r="K119" s="76">
        <v>250</v>
      </c>
      <c r="L119" s="76"/>
      <c r="M119" s="76"/>
      <c r="N119" s="266">
        <v>250</v>
      </c>
      <c r="O119" s="77" t="s">
        <v>361</v>
      </c>
    </row>
    <row r="120" ht="36" spans="1:15">
      <c r="A120" s="252" t="s">
        <v>132</v>
      </c>
      <c r="B120" s="73" t="s">
        <v>336</v>
      </c>
      <c r="C120" s="73" t="s">
        <v>166</v>
      </c>
      <c r="D120" s="73" t="s">
        <v>149</v>
      </c>
      <c r="E120" s="74" t="s">
        <v>138</v>
      </c>
      <c r="F120" s="241" t="s">
        <v>135</v>
      </c>
      <c r="G120" s="75" t="s">
        <v>362</v>
      </c>
      <c r="H120" s="76">
        <f t="shared" si="4"/>
        <v>149</v>
      </c>
      <c r="I120" s="76"/>
      <c r="J120" s="76">
        <f t="shared" si="5"/>
        <v>149</v>
      </c>
      <c r="K120" s="76">
        <v>149</v>
      </c>
      <c r="L120" s="76"/>
      <c r="M120" s="76"/>
      <c r="N120" s="266">
        <v>341.96</v>
      </c>
      <c r="O120" s="80"/>
    </row>
    <row r="121" ht="38.4" spans="1:15">
      <c r="A121" s="252" t="s">
        <v>132</v>
      </c>
      <c r="B121" s="73" t="s">
        <v>336</v>
      </c>
      <c r="C121" s="73" t="s">
        <v>142</v>
      </c>
      <c r="D121" s="73" t="s">
        <v>166</v>
      </c>
      <c r="E121" s="74" t="s">
        <v>138</v>
      </c>
      <c r="F121" s="241" t="s">
        <v>135</v>
      </c>
      <c r="G121" s="75" t="s">
        <v>363</v>
      </c>
      <c r="H121" s="76">
        <f t="shared" si="4"/>
        <v>518.78</v>
      </c>
      <c r="I121" s="76"/>
      <c r="J121" s="76">
        <f t="shared" si="5"/>
        <v>518.78</v>
      </c>
      <c r="K121" s="76">
        <v>218.78</v>
      </c>
      <c r="L121" s="76"/>
      <c r="M121" s="76">
        <v>300</v>
      </c>
      <c r="N121" s="266">
        <v>1387.28</v>
      </c>
      <c r="O121" s="77" t="s">
        <v>364</v>
      </c>
    </row>
    <row r="122" ht="79.2" spans="1:15">
      <c r="A122" s="252" t="s">
        <v>132</v>
      </c>
      <c r="B122" s="73" t="s">
        <v>336</v>
      </c>
      <c r="C122" s="73" t="s">
        <v>142</v>
      </c>
      <c r="D122" s="73" t="s">
        <v>166</v>
      </c>
      <c r="E122" s="74" t="s">
        <v>138</v>
      </c>
      <c r="F122" s="241" t="s">
        <v>135</v>
      </c>
      <c r="G122" s="75" t="s">
        <v>365</v>
      </c>
      <c r="H122" s="76">
        <f t="shared" si="4"/>
        <v>5369.14</v>
      </c>
      <c r="I122" s="76">
        <v>264</v>
      </c>
      <c r="J122" s="76">
        <f t="shared" si="5"/>
        <v>5105.14</v>
      </c>
      <c r="K122" s="76">
        <v>5105.14</v>
      </c>
      <c r="L122" s="76"/>
      <c r="M122" s="76"/>
      <c r="N122" s="266">
        <v>5065.14</v>
      </c>
      <c r="O122" s="77" t="s">
        <v>366</v>
      </c>
    </row>
    <row r="123" ht="36" spans="1:15">
      <c r="A123" s="252" t="s">
        <v>132</v>
      </c>
      <c r="B123" s="73" t="s">
        <v>133</v>
      </c>
      <c r="C123" s="73" t="s">
        <v>149</v>
      </c>
      <c r="D123" s="73" t="s">
        <v>149</v>
      </c>
      <c r="E123" s="74" t="s">
        <v>138</v>
      </c>
      <c r="F123" s="241" t="s">
        <v>135</v>
      </c>
      <c r="G123" s="75" t="s">
        <v>367</v>
      </c>
      <c r="H123" s="76">
        <f t="shared" si="4"/>
        <v>150</v>
      </c>
      <c r="I123" s="276"/>
      <c r="J123" s="76">
        <f t="shared" si="5"/>
        <v>150</v>
      </c>
      <c r="K123" s="76">
        <v>150</v>
      </c>
      <c r="L123" s="76"/>
      <c r="M123" s="76"/>
      <c r="N123" s="266"/>
      <c r="O123" s="80"/>
    </row>
    <row r="124" ht="36" spans="1:15">
      <c r="A124" s="252" t="s">
        <v>132</v>
      </c>
      <c r="B124" s="73" t="s">
        <v>336</v>
      </c>
      <c r="C124" s="73" t="s">
        <v>142</v>
      </c>
      <c r="D124" s="73" t="s">
        <v>166</v>
      </c>
      <c r="E124" s="74" t="s">
        <v>138</v>
      </c>
      <c r="F124" s="241" t="s">
        <v>135</v>
      </c>
      <c r="G124" s="75" t="s">
        <v>368</v>
      </c>
      <c r="H124" s="76">
        <f t="shared" si="4"/>
        <v>350</v>
      </c>
      <c r="I124" s="76"/>
      <c r="J124" s="76">
        <f t="shared" si="5"/>
        <v>350</v>
      </c>
      <c r="K124" s="76">
        <v>350</v>
      </c>
      <c r="L124" s="76"/>
      <c r="M124" s="76"/>
      <c r="N124" s="266">
        <v>410</v>
      </c>
      <c r="O124" s="77" t="s">
        <v>369</v>
      </c>
    </row>
    <row r="125" ht="36" spans="1:15">
      <c r="A125" s="252" t="s">
        <v>132</v>
      </c>
      <c r="B125" s="73" t="s">
        <v>336</v>
      </c>
      <c r="C125" s="73" t="s">
        <v>166</v>
      </c>
      <c r="D125" s="73" t="s">
        <v>158</v>
      </c>
      <c r="E125" s="74" t="s">
        <v>138</v>
      </c>
      <c r="F125" s="241" t="s">
        <v>135</v>
      </c>
      <c r="G125" s="75" t="s">
        <v>370</v>
      </c>
      <c r="H125" s="76">
        <f t="shared" si="4"/>
        <v>65</v>
      </c>
      <c r="I125" s="76"/>
      <c r="J125" s="76">
        <f t="shared" si="5"/>
        <v>65</v>
      </c>
      <c r="K125" s="76">
        <v>65</v>
      </c>
      <c r="L125" s="76"/>
      <c r="M125" s="76"/>
      <c r="N125" s="266">
        <v>162.43</v>
      </c>
      <c r="O125" s="80"/>
    </row>
    <row r="126" ht="39.6" spans="1:15">
      <c r="A126" s="252" t="s">
        <v>132</v>
      </c>
      <c r="B126" s="73" t="s">
        <v>336</v>
      </c>
      <c r="C126" s="73" t="s">
        <v>166</v>
      </c>
      <c r="D126" s="73" t="s">
        <v>158</v>
      </c>
      <c r="E126" s="74" t="s">
        <v>138</v>
      </c>
      <c r="F126" s="241" t="s">
        <v>135</v>
      </c>
      <c r="G126" s="75" t="s">
        <v>371</v>
      </c>
      <c r="H126" s="76">
        <f t="shared" si="4"/>
        <v>365.62</v>
      </c>
      <c r="I126" s="76"/>
      <c r="J126" s="76">
        <f t="shared" si="5"/>
        <v>365.62</v>
      </c>
      <c r="K126" s="76">
        <v>190.62</v>
      </c>
      <c r="L126" s="76">
        <v>175</v>
      </c>
      <c r="M126" s="76"/>
      <c r="N126" s="266">
        <v>220.62</v>
      </c>
      <c r="O126" s="77" t="s">
        <v>372</v>
      </c>
    </row>
    <row r="127" ht="36" spans="1:15">
      <c r="A127" s="252" t="s">
        <v>132</v>
      </c>
      <c r="B127" s="73" t="s">
        <v>336</v>
      </c>
      <c r="C127" s="73" t="s">
        <v>166</v>
      </c>
      <c r="D127" s="73" t="s">
        <v>149</v>
      </c>
      <c r="E127" s="74" t="s">
        <v>138</v>
      </c>
      <c r="F127" s="241" t="s">
        <v>135</v>
      </c>
      <c r="G127" s="75" t="s">
        <v>373</v>
      </c>
      <c r="H127" s="76">
        <f t="shared" si="4"/>
        <v>552.79</v>
      </c>
      <c r="I127" s="76"/>
      <c r="J127" s="76">
        <f t="shared" si="5"/>
        <v>552.79</v>
      </c>
      <c r="K127" s="76">
        <v>552.79</v>
      </c>
      <c r="L127" s="76"/>
      <c r="M127" s="76"/>
      <c r="N127" s="266">
        <v>552.79</v>
      </c>
      <c r="O127" s="77" t="s">
        <v>374</v>
      </c>
    </row>
    <row r="128" ht="36" spans="1:15">
      <c r="A128" s="252" t="s">
        <v>132</v>
      </c>
      <c r="B128" s="73" t="s">
        <v>336</v>
      </c>
      <c r="C128" s="73" t="s">
        <v>166</v>
      </c>
      <c r="D128" s="73" t="s">
        <v>149</v>
      </c>
      <c r="E128" s="74" t="s">
        <v>138</v>
      </c>
      <c r="F128" s="241" t="s">
        <v>135</v>
      </c>
      <c r="G128" s="75" t="s">
        <v>375</v>
      </c>
      <c r="H128" s="76">
        <f t="shared" si="4"/>
        <v>20</v>
      </c>
      <c r="I128" s="76"/>
      <c r="J128" s="76">
        <f t="shared" si="5"/>
        <v>20</v>
      </c>
      <c r="K128" s="76">
        <v>20</v>
      </c>
      <c r="L128" s="76"/>
      <c r="M128" s="76"/>
      <c r="N128" s="266">
        <v>25</v>
      </c>
      <c r="O128" s="80"/>
    </row>
    <row r="129" ht="36" spans="1:15">
      <c r="A129" s="252" t="s">
        <v>132</v>
      </c>
      <c r="B129" s="73" t="s">
        <v>336</v>
      </c>
      <c r="C129" s="73" t="s">
        <v>166</v>
      </c>
      <c r="D129" s="73" t="s">
        <v>149</v>
      </c>
      <c r="E129" s="74" t="s">
        <v>138</v>
      </c>
      <c r="F129" s="241" t="s">
        <v>135</v>
      </c>
      <c r="G129" s="75" t="s">
        <v>376</v>
      </c>
      <c r="H129" s="76">
        <f t="shared" si="4"/>
        <v>30</v>
      </c>
      <c r="I129" s="76"/>
      <c r="J129" s="76">
        <f t="shared" si="5"/>
        <v>30</v>
      </c>
      <c r="K129" s="76">
        <v>30</v>
      </c>
      <c r="L129" s="76"/>
      <c r="M129" s="76"/>
      <c r="N129" s="266">
        <v>30</v>
      </c>
      <c r="O129" s="77" t="s">
        <v>377</v>
      </c>
    </row>
    <row r="130" ht="36" spans="1:15">
      <c r="A130" s="252" t="s">
        <v>132</v>
      </c>
      <c r="B130" s="73" t="s">
        <v>336</v>
      </c>
      <c r="C130" s="73" t="s">
        <v>166</v>
      </c>
      <c r="D130" s="73" t="s">
        <v>149</v>
      </c>
      <c r="E130" s="74" t="s">
        <v>138</v>
      </c>
      <c r="F130" s="241" t="s">
        <v>135</v>
      </c>
      <c r="G130" s="75" t="s">
        <v>378</v>
      </c>
      <c r="H130" s="76">
        <f t="shared" si="4"/>
        <v>160</v>
      </c>
      <c r="I130" s="76"/>
      <c r="J130" s="76">
        <f t="shared" si="5"/>
        <v>160</v>
      </c>
      <c r="K130" s="76">
        <v>160</v>
      </c>
      <c r="L130" s="76"/>
      <c r="M130" s="76"/>
      <c r="N130" s="266">
        <v>298</v>
      </c>
      <c r="O130" s="77" t="s">
        <v>379</v>
      </c>
    </row>
    <row r="131" ht="37.2" spans="1:15">
      <c r="A131" s="252" t="s">
        <v>132</v>
      </c>
      <c r="B131" s="73" t="s">
        <v>380</v>
      </c>
      <c r="C131" s="73" t="s">
        <v>166</v>
      </c>
      <c r="D131" s="73" t="s">
        <v>149</v>
      </c>
      <c r="E131" s="74" t="s">
        <v>138</v>
      </c>
      <c r="F131" s="241" t="s">
        <v>135</v>
      </c>
      <c r="G131" s="75" t="s">
        <v>381</v>
      </c>
      <c r="H131" s="76">
        <f t="shared" si="4"/>
        <v>579.48</v>
      </c>
      <c r="I131" s="76">
        <f>102.67+64</f>
        <v>166.67</v>
      </c>
      <c r="J131" s="76">
        <f t="shared" si="5"/>
        <v>412.81</v>
      </c>
      <c r="K131" s="76">
        <v>147.81</v>
      </c>
      <c r="L131" s="76"/>
      <c r="M131" s="76">
        <v>265</v>
      </c>
      <c r="N131" s="266">
        <v>71.74</v>
      </c>
      <c r="O131" s="77" t="s">
        <v>382</v>
      </c>
    </row>
    <row r="132" ht="36" spans="1:15">
      <c r="A132" s="252" t="s">
        <v>132</v>
      </c>
      <c r="B132" s="73" t="s">
        <v>380</v>
      </c>
      <c r="C132" s="73" t="s">
        <v>202</v>
      </c>
      <c r="D132" s="73" t="s">
        <v>145</v>
      </c>
      <c r="E132" s="74" t="s">
        <v>138</v>
      </c>
      <c r="F132" s="241" t="s">
        <v>135</v>
      </c>
      <c r="G132" s="75" t="s">
        <v>383</v>
      </c>
      <c r="H132" s="76">
        <f t="shared" si="4"/>
        <v>142.3</v>
      </c>
      <c r="I132" s="76">
        <v>127</v>
      </c>
      <c r="J132" s="76">
        <f t="shared" si="5"/>
        <v>15.3</v>
      </c>
      <c r="K132" s="76">
        <v>15.3</v>
      </c>
      <c r="L132" s="76"/>
      <c r="M132" s="76"/>
      <c r="N132" s="266">
        <v>15.3</v>
      </c>
      <c r="O132" s="77" t="s">
        <v>384</v>
      </c>
    </row>
    <row r="133" ht="39.6" spans="1:15">
      <c r="A133" s="252" t="s">
        <v>132</v>
      </c>
      <c r="B133" s="73" t="s">
        <v>380</v>
      </c>
      <c r="C133" s="73" t="s">
        <v>166</v>
      </c>
      <c r="D133" s="73" t="s">
        <v>149</v>
      </c>
      <c r="E133" s="74" t="s">
        <v>138</v>
      </c>
      <c r="F133" s="241" t="s">
        <v>135</v>
      </c>
      <c r="G133" s="75" t="s">
        <v>385</v>
      </c>
      <c r="H133" s="76">
        <f t="shared" si="4"/>
        <v>240</v>
      </c>
      <c r="I133" s="76">
        <v>60</v>
      </c>
      <c r="J133" s="76">
        <f t="shared" si="5"/>
        <v>180</v>
      </c>
      <c r="K133" s="76">
        <v>180</v>
      </c>
      <c r="L133" s="76"/>
      <c r="M133" s="76"/>
      <c r="N133" s="266">
        <v>180</v>
      </c>
      <c r="O133" s="77" t="s">
        <v>386</v>
      </c>
    </row>
    <row r="134" ht="36" spans="1:15">
      <c r="A134" s="252" t="s">
        <v>132</v>
      </c>
      <c r="B134" s="73" t="s">
        <v>380</v>
      </c>
      <c r="C134" s="73" t="s">
        <v>166</v>
      </c>
      <c r="D134" s="243">
        <v>22</v>
      </c>
      <c r="E134" s="74" t="s">
        <v>138</v>
      </c>
      <c r="F134" s="241" t="s">
        <v>135</v>
      </c>
      <c r="G134" s="75" t="s">
        <v>387</v>
      </c>
      <c r="H134" s="76">
        <f t="shared" si="4"/>
        <v>294</v>
      </c>
      <c r="I134" s="76">
        <f>202+54</f>
        <v>256</v>
      </c>
      <c r="J134" s="76">
        <f t="shared" si="5"/>
        <v>38</v>
      </c>
      <c r="K134" s="76">
        <v>38</v>
      </c>
      <c r="L134" s="76"/>
      <c r="M134" s="76"/>
      <c r="N134" s="266">
        <v>38</v>
      </c>
      <c r="O134" s="77" t="s">
        <v>388</v>
      </c>
    </row>
    <row r="135" ht="36" spans="1:15">
      <c r="A135" s="252" t="s">
        <v>132</v>
      </c>
      <c r="B135" s="73" t="s">
        <v>380</v>
      </c>
      <c r="C135" s="73" t="s">
        <v>141</v>
      </c>
      <c r="D135" s="73" t="s">
        <v>149</v>
      </c>
      <c r="E135" s="74" t="s">
        <v>138</v>
      </c>
      <c r="F135" s="241" t="s">
        <v>135</v>
      </c>
      <c r="G135" s="75" t="s">
        <v>389</v>
      </c>
      <c r="H135" s="76">
        <f t="shared" si="4"/>
        <v>40</v>
      </c>
      <c r="I135" s="76"/>
      <c r="J135" s="76">
        <f t="shared" si="5"/>
        <v>40</v>
      </c>
      <c r="K135" s="76">
        <v>40</v>
      </c>
      <c r="L135" s="76"/>
      <c r="M135" s="76"/>
      <c r="N135" s="266">
        <v>40</v>
      </c>
      <c r="O135" s="74" t="s">
        <v>390</v>
      </c>
    </row>
    <row r="136" ht="36" spans="1:15">
      <c r="A136" s="252" t="s">
        <v>132</v>
      </c>
      <c r="B136" s="73" t="s">
        <v>380</v>
      </c>
      <c r="C136" s="73" t="s">
        <v>166</v>
      </c>
      <c r="D136" s="73" t="s">
        <v>263</v>
      </c>
      <c r="E136" s="74" t="s">
        <v>138</v>
      </c>
      <c r="F136" s="241" t="s">
        <v>135</v>
      </c>
      <c r="G136" s="75" t="s">
        <v>391</v>
      </c>
      <c r="H136" s="76">
        <f t="shared" ref="H136:H199" si="6">I136+K136+L136+M136</f>
        <v>542.55</v>
      </c>
      <c r="I136" s="76">
        <f>25+487.55</f>
        <v>512.55</v>
      </c>
      <c r="J136" s="76">
        <f t="shared" ref="J136:J199" si="7">K136+L136+M136</f>
        <v>30</v>
      </c>
      <c r="K136" s="76">
        <v>30</v>
      </c>
      <c r="L136" s="76"/>
      <c r="M136" s="76"/>
      <c r="N136" s="266">
        <v>30</v>
      </c>
      <c r="O136" s="77" t="s">
        <v>392</v>
      </c>
    </row>
    <row r="137" ht="36" spans="1:15">
      <c r="A137" s="252" t="s">
        <v>132</v>
      </c>
      <c r="B137" s="73" t="s">
        <v>380</v>
      </c>
      <c r="C137" s="73" t="s">
        <v>142</v>
      </c>
      <c r="D137" s="73" t="s">
        <v>149</v>
      </c>
      <c r="E137" s="74" t="s">
        <v>138</v>
      </c>
      <c r="F137" s="241" t="s">
        <v>135</v>
      </c>
      <c r="G137" s="75" t="s">
        <v>393</v>
      </c>
      <c r="H137" s="76">
        <f t="shared" si="6"/>
        <v>60</v>
      </c>
      <c r="I137" s="76"/>
      <c r="J137" s="76">
        <f t="shared" si="7"/>
        <v>60</v>
      </c>
      <c r="K137" s="76">
        <v>60</v>
      </c>
      <c r="L137" s="76"/>
      <c r="M137" s="76"/>
      <c r="N137" s="266">
        <v>20</v>
      </c>
      <c r="O137" s="77" t="s">
        <v>394</v>
      </c>
    </row>
    <row r="138" ht="36" spans="1:15">
      <c r="A138" s="252" t="s">
        <v>132</v>
      </c>
      <c r="B138" s="73" t="s">
        <v>380</v>
      </c>
      <c r="C138" s="73" t="s">
        <v>149</v>
      </c>
      <c r="D138" s="73" t="s">
        <v>149</v>
      </c>
      <c r="E138" s="74" t="s">
        <v>138</v>
      </c>
      <c r="F138" s="241" t="s">
        <v>135</v>
      </c>
      <c r="G138" s="75" t="s">
        <v>395</v>
      </c>
      <c r="H138" s="76">
        <f t="shared" si="6"/>
        <v>98</v>
      </c>
      <c r="I138" s="76"/>
      <c r="J138" s="76">
        <f t="shared" si="7"/>
        <v>98</v>
      </c>
      <c r="K138" s="76">
        <v>98</v>
      </c>
      <c r="L138" s="76"/>
      <c r="M138" s="76"/>
      <c r="N138" s="266">
        <v>98</v>
      </c>
      <c r="O138" s="288"/>
    </row>
    <row r="139" ht="52.8" spans="1:15">
      <c r="A139" s="252" t="s">
        <v>132</v>
      </c>
      <c r="B139" s="73" t="s">
        <v>380</v>
      </c>
      <c r="C139" s="73" t="s">
        <v>149</v>
      </c>
      <c r="D139" s="73" t="s">
        <v>149</v>
      </c>
      <c r="E139" s="74" t="s">
        <v>138</v>
      </c>
      <c r="F139" s="241" t="s">
        <v>135</v>
      </c>
      <c r="G139" s="75" t="s">
        <v>396</v>
      </c>
      <c r="H139" s="76">
        <f t="shared" si="6"/>
        <v>269.31</v>
      </c>
      <c r="I139" s="76"/>
      <c r="J139" s="76">
        <f t="shared" si="7"/>
        <v>269.31</v>
      </c>
      <c r="K139" s="76">
        <v>269.31</v>
      </c>
      <c r="L139" s="76"/>
      <c r="M139" s="76"/>
      <c r="N139" s="76">
        <v>269.31</v>
      </c>
      <c r="O139" s="77" t="s">
        <v>397</v>
      </c>
    </row>
    <row r="140" ht="84" spans="1:15">
      <c r="A140" s="252" t="s">
        <v>132</v>
      </c>
      <c r="B140" s="73" t="s">
        <v>380</v>
      </c>
      <c r="C140" s="73" t="s">
        <v>145</v>
      </c>
      <c r="D140" s="73" t="s">
        <v>142</v>
      </c>
      <c r="E140" s="74" t="s">
        <v>138</v>
      </c>
      <c r="F140" s="241" t="s">
        <v>135</v>
      </c>
      <c r="G140" s="75" t="s">
        <v>398</v>
      </c>
      <c r="H140" s="76">
        <f t="shared" si="6"/>
        <v>1137.88</v>
      </c>
      <c r="I140" s="76">
        <v>190.22</v>
      </c>
      <c r="J140" s="76">
        <f t="shared" si="7"/>
        <v>947.66</v>
      </c>
      <c r="K140" s="76"/>
      <c r="L140" s="76"/>
      <c r="M140" s="76">
        <f>917.97+29.69</f>
        <v>947.66</v>
      </c>
      <c r="N140" s="76">
        <v>952.31</v>
      </c>
      <c r="O140" s="77" t="s">
        <v>399</v>
      </c>
    </row>
    <row r="141" ht="38.4" spans="1:15">
      <c r="A141" s="252" t="s">
        <v>132</v>
      </c>
      <c r="B141" s="73" t="s">
        <v>380</v>
      </c>
      <c r="C141" s="73" t="s">
        <v>145</v>
      </c>
      <c r="D141" s="73" t="s">
        <v>179</v>
      </c>
      <c r="E141" s="74" t="s">
        <v>138</v>
      </c>
      <c r="F141" s="241" t="s">
        <v>135</v>
      </c>
      <c r="G141" s="75" t="s">
        <v>400</v>
      </c>
      <c r="H141" s="76">
        <f t="shared" si="6"/>
        <v>204.8</v>
      </c>
      <c r="I141" s="76">
        <v>130</v>
      </c>
      <c r="J141" s="76">
        <f t="shared" si="7"/>
        <v>74.8</v>
      </c>
      <c r="K141" s="76">
        <v>74.8</v>
      </c>
      <c r="L141" s="76"/>
      <c r="M141" s="76"/>
      <c r="N141" s="266">
        <v>84.8</v>
      </c>
      <c r="O141" s="77" t="s">
        <v>401</v>
      </c>
    </row>
    <row r="142" ht="36" spans="1:15">
      <c r="A142" s="252" t="s">
        <v>132</v>
      </c>
      <c r="B142" s="73" t="s">
        <v>402</v>
      </c>
      <c r="C142" s="73" t="s">
        <v>166</v>
      </c>
      <c r="D142" s="73" t="s">
        <v>158</v>
      </c>
      <c r="E142" s="74" t="s">
        <v>138</v>
      </c>
      <c r="F142" s="241" t="s">
        <v>135</v>
      </c>
      <c r="G142" s="75" t="s">
        <v>403</v>
      </c>
      <c r="H142" s="76">
        <f t="shared" si="6"/>
        <v>10</v>
      </c>
      <c r="I142" s="297"/>
      <c r="J142" s="76">
        <f t="shared" si="7"/>
        <v>10</v>
      </c>
      <c r="K142" s="273">
        <v>10</v>
      </c>
      <c r="L142" s="76"/>
      <c r="M142" s="76"/>
      <c r="N142" s="266">
        <v>10</v>
      </c>
      <c r="O142" s="272"/>
    </row>
    <row r="143" ht="36" spans="1:15">
      <c r="A143" s="252" t="s">
        <v>132</v>
      </c>
      <c r="B143" s="73" t="s">
        <v>402</v>
      </c>
      <c r="C143" s="73" t="s">
        <v>166</v>
      </c>
      <c r="D143" s="73" t="s">
        <v>179</v>
      </c>
      <c r="E143" s="74" t="s">
        <v>138</v>
      </c>
      <c r="F143" s="241" t="s">
        <v>135</v>
      </c>
      <c r="G143" s="75" t="s">
        <v>404</v>
      </c>
      <c r="H143" s="76">
        <f t="shared" si="6"/>
        <v>20</v>
      </c>
      <c r="I143" s="76"/>
      <c r="J143" s="76">
        <f t="shared" si="7"/>
        <v>20</v>
      </c>
      <c r="K143" s="76">
        <v>20</v>
      </c>
      <c r="L143" s="76"/>
      <c r="M143" s="76"/>
      <c r="N143" s="266"/>
      <c r="O143" s="77"/>
    </row>
    <row r="144" ht="36" spans="1:15">
      <c r="A144" s="252" t="s">
        <v>132</v>
      </c>
      <c r="B144" s="243">
        <v>211</v>
      </c>
      <c r="C144" s="73" t="s">
        <v>166</v>
      </c>
      <c r="D144" s="73" t="s">
        <v>149</v>
      </c>
      <c r="E144" s="74" t="s">
        <v>138</v>
      </c>
      <c r="F144" s="241" t="s">
        <v>135</v>
      </c>
      <c r="G144" s="75" t="s">
        <v>405</v>
      </c>
      <c r="H144" s="76">
        <f t="shared" si="6"/>
        <v>23</v>
      </c>
      <c r="I144" s="76"/>
      <c r="J144" s="76">
        <f t="shared" si="7"/>
        <v>23</v>
      </c>
      <c r="K144" s="76">
        <v>23</v>
      </c>
      <c r="L144" s="76"/>
      <c r="M144" s="76"/>
      <c r="N144" s="266"/>
      <c r="O144" s="77" t="s">
        <v>406</v>
      </c>
    </row>
    <row r="145" ht="36" spans="1:15">
      <c r="A145" s="252" t="s">
        <v>132</v>
      </c>
      <c r="B145" s="73" t="s">
        <v>252</v>
      </c>
      <c r="C145" s="73" t="s">
        <v>225</v>
      </c>
      <c r="D145" s="73" t="s">
        <v>158</v>
      </c>
      <c r="E145" s="74" t="s">
        <v>138</v>
      </c>
      <c r="F145" s="241" t="s">
        <v>135</v>
      </c>
      <c r="G145" s="75" t="s">
        <v>407</v>
      </c>
      <c r="H145" s="76">
        <f t="shared" si="6"/>
        <v>200</v>
      </c>
      <c r="I145" s="76"/>
      <c r="J145" s="76">
        <f t="shared" si="7"/>
        <v>200</v>
      </c>
      <c r="K145" s="76">
        <v>200</v>
      </c>
      <c r="L145" s="76"/>
      <c r="M145" s="76"/>
      <c r="N145" s="266">
        <v>277</v>
      </c>
      <c r="O145" s="77" t="s">
        <v>408</v>
      </c>
    </row>
    <row r="146" ht="84" spans="1:15">
      <c r="A146" s="252" t="s">
        <v>132</v>
      </c>
      <c r="B146" s="73" t="s">
        <v>380</v>
      </c>
      <c r="C146" s="73" t="s">
        <v>166</v>
      </c>
      <c r="D146" s="73" t="s">
        <v>149</v>
      </c>
      <c r="E146" s="74" t="s">
        <v>138</v>
      </c>
      <c r="F146" s="241" t="s">
        <v>135</v>
      </c>
      <c r="G146" s="83" t="s">
        <v>409</v>
      </c>
      <c r="H146" s="76">
        <f t="shared" si="6"/>
        <v>432.09</v>
      </c>
      <c r="I146" s="76">
        <v>102</v>
      </c>
      <c r="J146" s="76">
        <f t="shared" si="7"/>
        <v>330.09</v>
      </c>
      <c r="K146" s="76">
        <v>330.09</v>
      </c>
      <c r="L146" s="76"/>
      <c r="M146" s="76"/>
      <c r="N146" s="266">
        <v>95.2</v>
      </c>
      <c r="O146" s="79" t="s">
        <v>410</v>
      </c>
    </row>
    <row r="147" ht="36" spans="1:15">
      <c r="A147" s="252" t="s">
        <v>132</v>
      </c>
      <c r="B147" s="253">
        <v>232</v>
      </c>
      <c r="C147" s="253" t="s">
        <v>145</v>
      </c>
      <c r="D147" s="253" t="s">
        <v>166</v>
      </c>
      <c r="E147" s="74" t="s">
        <v>138</v>
      </c>
      <c r="F147" s="254" t="s">
        <v>135</v>
      </c>
      <c r="G147" s="255" t="s">
        <v>411</v>
      </c>
      <c r="H147" s="76">
        <f t="shared" si="6"/>
        <v>1848.5</v>
      </c>
      <c r="I147" s="295"/>
      <c r="J147" s="76">
        <f t="shared" si="7"/>
        <v>1848.5</v>
      </c>
      <c r="K147" s="76">
        <v>1848.5</v>
      </c>
      <c r="L147" s="76"/>
      <c r="M147" s="76"/>
      <c r="N147" s="266">
        <v>1848.5</v>
      </c>
      <c r="O147" s="289"/>
    </row>
    <row r="148" ht="36" spans="1:15">
      <c r="A148" s="252" t="s">
        <v>132</v>
      </c>
      <c r="B148" s="253" t="s">
        <v>412</v>
      </c>
      <c r="C148" s="253"/>
      <c r="D148" s="253"/>
      <c r="E148" s="74" t="s">
        <v>138</v>
      </c>
      <c r="F148" s="254" t="s">
        <v>135</v>
      </c>
      <c r="G148" s="255" t="s">
        <v>413</v>
      </c>
      <c r="H148" s="76">
        <f t="shared" si="6"/>
        <v>1100</v>
      </c>
      <c r="I148" s="295"/>
      <c r="J148" s="76">
        <f t="shared" si="7"/>
        <v>1100</v>
      </c>
      <c r="K148" s="76">
        <v>1100</v>
      </c>
      <c r="L148" s="76"/>
      <c r="M148" s="76"/>
      <c r="N148" s="266">
        <v>1200</v>
      </c>
      <c r="O148" s="289"/>
    </row>
    <row r="149" ht="36" spans="1:15">
      <c r="A149" s="252" t="s">
        <v>132</v>
      </c>
      <c r="B149" s="73" t="s">
        <v>133</v>
      </c>
      <c r="C149" s="253" t="s">
        <v>145</v>
      </c>
      <c r="D149" s="253">
        <v>99</v>
      </c>
      <c r="E149" s="74" t="s">
        <v>138</v>
      </c>
      <c r="F149" s="256" t="s">
        <v>135</v>
      </c>
      <c r="G149" s="75" t="s">
        <v>414</v>
      </c>
      <c r="H149" s="76">
        <f t="shared" si="6"/>
        <v>1353.36</v>
      </c>
      <c r="I149" s="76"/>
      <c r="J149" s="76">
        <f t="shared" si="7"/>
        <v>1353.36</v>
      </c>
      <c r="K149" s="76"/>
      <c r="L149" s="76">
        <v>1353.36</v>
      </c>
      <c r="M149" s="76"/>
      <c r="N149" s="266"/>
      <c r="O149" s="80"/>
    </row>
    <row r="150" ht="36" spans="1:15">
      <c r="A150" s="252" t="s">
        <v>415</v>
      </c>
      <c r="B150" s="73"/>
      <c r="C150" s="253"/>
      <c r="D150" s="253"/>
      <c r="E150" s="286"/>
      <c r="F150" s="246"/>
      <c r="G150" s="287"/>
      <c r="H150" s="76">
        <f t="shared" si="6"/>
        <v>876.96</v>
      </c>
      <c r="I150" s="76">
        <f t="shared" ref="I150:M150" si="8">SUM(I151:I153)</f>
        <v>0</v>
      </c>
      <c r="J150" s="76">
        <f t="shared" si="7"/>
        <v>876.96</v>
      </c>
      <c r="K150" s="76">
        <f t="shared" si="8"/>
        <v>876.96</v>
      </c>
      <c r="L150" s="76">
        <f t="shared" si="8"/>
        <v>0</v>
      </c>
      <c r="M150" s="76">
        <f t="shared" si="8"/>
        <v>0</v>
      </c>
      <c r="N150" s="266"/>
      <c r="O150" s="80"/>
    </row>
    <row r="151" ht="36" spans="1:15">
      <c r="A151" s="252" t="s">
        <v>415</v>
      </c>
      <c r="B151" s="73" t="s">
        <v>133</v>
      </c>
      <c r="C151" s="73" t="s">
        <v>157</v>
      </c>
      <c r="D151" s="73" t="s">
        <v>166</v>
      </c>
      <c r="E151" s="74" t="s">
        <v>134</v>
      </c>
      <c r="F151" s="246"/>
      <c r="G151" s="75" t="s">
        <v>416</v>
      </c>
      <c r="H151" s="76">
        <f t="shared" si="6"/>
        <v>731.59</v>
      </c>
      <c r="I151" s="76"/>
      <c r="J151" s="76">
        <f t="shared" si="7"/>
        <v>731.59</v>
      </c>
      <c r="K151" s="76">
        <f>768.96-37.37</f>
        <v>731.59</v>
      </c>
      <c r="L151" s="76"/>
      <c r="M151" s="76"/>
      <c r="N151" s="266"/>
      <c r="O151" s="76"/>
    </row>
    <row r="152" ht="36" spans="1:15">
      <c r="A152" s="252" t="s">
        <v>415</v>
      </c>
      <c r="B152" s="73" t="s">
        <v>133</v>
      </c>
      <c r="C152" s="73" t="s">
        <v>157</v>
      </c>
      <c r="D152" s="73" t="s">
        <v>166</v>
      </c>
      <c r="E152" s="74" t="s">
        <v>417</v>
      </c>
      <c r="F152" s="246"/>
      <c r="G152" s="75" t="s">
        <v>418</v>
      </c>
      <c r="H152" s="76">
        <f t="shared" si="6"/>
        <v>121.37</v>
      </c>
      <c r="I152" s="76"/>
      <c r="J152" s="76">
        <f t="shared" si="7"/>
        <v>121.37</v>
      </c>
      <c r="K152" s="76">
        <f>84+37.37</f>
        <v>121.37</v>
      </c>
      <c r="L152" s="76"/>
      <c r="M152" s="76"/>
      <c r="N152" s="266"/>
      <c r="O152" s="79" t="s">
        <v>419</v>
      </c>
    </row>
    <row r="153" ht="36" spans="1:15">
      <c r="A153" s="252" t="s">
        <v>415</v>
      </c>
      <c r="B153" s="73" t="s">
        <v>133</v>
      </c>
      <c r="C153" s="73" t="s">
        <v>157</v>
      </c>
      <c r="D153" s="73" t="s">
        <v>179</v>
      </c>
      <c r="E153" s="74" t="s">
        <v>210</v>
      </c>
      <c r="F153" s="241" t="s">
        <v>210</v>
      </c>
      <c r="G153" s="75" t="s">
        <v>420</v>
      </c>
      <c r="H153" s="76">
        <f t="shared" si="6"/>
        <v>24</v>
      </c>
      <c r="I153" s="76"/>
      <c r="J153" s="76">
        <f t="shared" si="7"/>
        <v>24</v>
      </c>
      <c r="K153" s="76">
        <v>24</v>
      </c>
      <c r="L153" s="76"/>
      <c r="M153" s="76"/>
      <c r="N153" s="266">
        <v>24</v>
      </c>
      <c r="O153" s="80"/>
    </row>
    <row r="154" ht="24" spans="1:15">
      <c r="A154" s="252" t="s">
        <v>421</v>
      </c>
      <c r="B154" s="73"/>
      <c r="C154" s="73"/>
      <c r="D154" s="73"/>
      <c r="E154" s="286"/>
      <c r="F154" s="226"/>
      <c r="G154" s="287"/>
      <c r="H154" s="76">
        <f t="shared" si="6"/>
        <v>543.16</v>
      </c>
      <c r="I154" s="76">
        <f t="shared" ref="I154:M154" si="9">SUM(I155:I158)</f>
        <v>0</v>
      </c>
      <c r="J154" s="76">
        <f t="shared" si="7"/>
        <v>543.16</v>
      </c>
      <c r="K154" s="76">
        <f t="shared" si="9"/>
        <v>543.16</v>
      </c>
      <c r="L154" s="76">
        <f t="shared" si="9"/>
        <v>0</v>
      </c>
      <c r="M154" s="76">
        <f t="shared" si="9"/>
        <v>0</v>
      </c>
      <c r="N154" s="266"/>
      <c r="O154" s="80"/>
    </row>
    <row r="155" ht="24" spans="1:15">
      <c r="A155" s="252" t="s">
        <v>421</v>
      </c>
      <c r="B155" s="73" t="s">
        <v>133</v>
      </c>
      <c r="C155" s="73" t="s">
        <v>175</v>
      </c>
      <c r="D155" s="73" t="s">
        <v>166</v>
      </c>
      <c r="E155" s="74" t="s">
        <v>134</v>
      </c>
      <c r="F155" s="246"/>
      <c r="G155" s="75" t="s">
        <v>416</v>
      </c>
      <c r="H155" s="76">
        <f t="shared" si="6"/>
        <v>422.47</v>
      </c>
      <c r="I155" s="76"/>
      <c r="J155" s="76">
        <f t="shared" si="7"/>
        <v>422.47</v>
      </c>
      <c r="K155" s="76">
        <f>439.86-17.39</f>
        <v>422.47</v>
      </c>
      <c r="L155" s="76"/>
      <c r="M155" s="76"/>
      <c r="N155" s="266"/>
      <c r="O155" s="76"/>
    </row>
    <row r="156" ht="36" spans="1:15">
      <c r="A156" s="252" t="s">
        <v>421</v>
      </c>
      <c r="B156" s="73" t="s">
        <v>133</v>
      </c>
      <c r="C156" s="73" t="s">
        <v>175</v>
      </c>
      <c r="D156" s="73" t="s">
        <v>166</v>
      </c>
      <c r="E156" s="74" t="s">
        <v>417</v>
      </c>
      <c r="F156" s="246"/>
      <c r="G156" s="75" t="s">
        <v>418</v>
      </c>
      <c r="H156" s="76">
        <f t="shared" si="6"/>
        <v>65.69</v>
      </c>
      <c r="I156" s="76"/>
      <c r="J156" s="76">
        <f t="shared" si="7"/>
        <v>65.69</v>
      </c>
      <c r="K156" s="76">
        <f>48.3+17.39</f>
        <v>65.69</v>
      </c>
      <c r="L156" s="76"/>
      <c r="M156" s="76"/>
      <c r="N156" s="266"/>
      <c r="O156" s="79" t="s">
        <v>419</v>
      </c>
    </row>
    <row r="157" ht="24" spans="1:15">
      <c r="A157" s="252" t="s">
        <v>421</v>
      </c>
      <c r="B157" s="73" t="s">
        <v>133</v>
      </c>
      <c r="C157" s="73" t="s">
        <v>175</v>
      </c>
      <c r="D157" s="73" t="s">
        <v>142</v>
      </c>
      <c r="E157" s="74" t="s">
        <v>210</v>
      </c>
      <c r="F157" s="241" t="s">
        <v>210</v>
      </c>
      <c r="G157" s="75" t="s">
        <v>422</v>
      </c>
      <c r="H157" s="76">
        <f t="shared" si="6"/>
        <v>5</v>
      </c>
      <c r="I157" s="76"/>
      <c r="J157" s="76">
        <f t="shared" si="7"/>
        <v>5</v>
      </c>
      <c r="K157" s="76">
        <v>5</v>
      </c>
      <c r="L157" s="76"/>
      <c r="M157" s="76"/>
      <c r="N157" s="266">
        <v>6</v>
      </c>
      <c r="O157" s="80"/>
    </row>
    <row r="158" ht="24" spans="1:15">
      <c r="A158" s="252" t="s">
        <v>421</v>
      </c>
      <c r="B158" s="73" t="s">
        <v>133</v>
      </c>
      <c r="C158" s="73" t="s">
        <v>175</v>
      </c>
      <c r="D158" s="73" t="s">
        <v>142</v>
      </c>
      <c r="E158" s="74" t="s">
        <v>210</v>
      </c>
      <c r="F158" s="241" t="s">
        <v>210</v>
      </c>
      <c r="G158" s="75" t="s">
        <v>423</v>
      </c>
      <c r="H158" s="76">
        <f t="shared" si="6"/>
        <v>50</v>
      </c>
      <c r="I158" s="76"/>
      <c r="J158" s="76">
        <f t="shared" si="7"/>
        <v>50</v>
      </c>
      <c r="K158" s="76">
        <v>50</v>
      </c>
      <c r="L158" s="76"/>
      <c r="M158" s="76"/>
      <c r="N158" s="266">
        <v>40</v>
      </c>
      <c r="O158" s="77" t="s">
        <v>424</v>
      </c>
    </row>
    <row r="159" ht="36" spans="1:15">
      <c r="A159" s="252" t="s">
        <v>425</v>
      </c>
      <c r="B159" s="73"/>
      <c r="C159" s="73"/>
      <c r="D159" s="73"/>
      <c r="E159" s="286"/>
      <c r="F159" s="246"/>
      <c r="G159" s="287"/>
      <c r="H159" s="76">
        <f t="shared" si="6"/>
        <v>607.74</v>
      </c>
      <c r="I159" s="76">
        <f t="shared" ref="I159:M159" si="10">SUM(I160:I162)</f>
        <v>0</v>
      </c>
      <c r="J159" s="76">
        <f t="shared" si="7"/>
        <v>607.74</v>
      </c>
      <c r="K159" s="76">
        <f t="shared" si="10"/>
        <v>607.74</v>
      </c>
      <c r="L159" s="76">
        <f t="shared" si="10"/>
        <v>0</v>
      </c>
      <c r="M159" s="76">
        <f t="shared" si="10"/>
        <v>0</v>
      </c>
      <c r="N159" s="266"/>
      <c r="O159" s="76"/>
    </row>
    <row r="160" ht="36" spans="1:15">
      <c r="A160" s="252" t="s">
        <v>425</v>
      </c>
      <c r="B160" s="73" t="s">
        <v>133</v>
      </c>
      <c r="C160" s="73" t="s">
        <v>148</v>
      </c>
      <c r="D160" s="73" t="s">
        <v>166</v>
      </c>
      <c r="E160" s="74" t="s">
        <v>134</v>
      </c>
      <c r="F160" s="246"/>
      <c r="G160" s="75" t="s">
        <v>416</v>
      </c>
      <c r="H160" s="76">
        <f t="shared" si="6"/>
        <v>436.7</v>
      </c>
      <c r="I160" s="76"/>
      <c r="J160" s="76">
        <f t="shared" si="7"/>
        <v>436.7</v>
      </c>
      <c r="K160" s="76">
        <f>455.16-18.46</f>
        <v>436.7</v>
      </c>
      <c r="L160" s="76"/>
      <c r="M160" s="76"/>
      <c r="N160" s="266"/>
      <c r="O160" s="76"/>
    </row>
    <row r="161" ht="36" spans="1:15">
      <c r="A161" s="252" t="s">
        <v>425</v>
      </c>
      <c r="B161" s="73" t="s">
        <v>133</v>
      </c>
      <c r="C161" s="73" t="s">
        <v>148</v>
      </c>
      <c r="D161" s="73" t="s">
        <v>166</v>
      </c>
      <c r="E161" s="74" t="s">
        <v>417</v>
      </c>
      <c r="F161" s="246"/>
      <c r="G161" s="75" t="s">
        <v>418</v>
      </c>
      <c r="H161" s="76">
        <f t="shared" si="6"/>
        <v>60.46</v>
      </c>
      <c r="I161" s="76"/>
      <c r="J161" s="76">
        <f t="shared" si="7"/>
        <v>60.46</v>
      </c>
      <c r="K161" s="76">
        <f>42+18.46</f>
        <v>60.46</v>
      </c>
      <c r="L161" s="76"/>
      <c r="M161" s="76"/>
      <c r="N161" s="266"/>
      <c r="O161" s="79" t="s">
        <v>419</v>
      </c>
    </row>
    <row r="162" ht="49.2" spans="1:15">
      <c r="A162" s="252" t="s">
        <v>425</v>
      </c>
      <c r="B162" s="73" t="s">
        <v>133</v>
      </c>
      <c r="C162" s="73" t="s">
        <v>148</v>
      </c>
      <c r="D162" s="73" t="s">
        <v>149</v>
      </c>
      <c r="E162" s="74" t="s">
        <v>210</v>
      </c>
      <c r="F162" s="241" t="s">
        <v>210</v>
      </c>
      <c r="G162" s="75" t="s">
        <v>426</v>
      </c>
      <c r="H162" s="76">
        <f t="shared" si="6"/>
        <v>110.58</v>
      </c>
      <c r="I162" s="76"/>
      <c r="J162" s="76">
        <f t="shared" si="7"/>
        <v>110.58</v>
      </c>
      <c r="K162" s="76">
        <v>110.58</v>
      </c>
      <c r="L162" s="76"/>
      <c r="M162" s="76"/>
      <c r="N162" s="266">
        <v>140.48</v>
      </c>
      <c r="O162" s="77" t="s">
        <v>427</v>
      </c>
    </row>
    <row r="163" ht="36" spans="1:15">
      <c r="A163" s="252" t="s">
        <v>428</v>
      </c>
      <c r="B163" s="73"/>
      <c r="C163" s="73"/>
      <c r="D163" s="73"/>
      <c r="E163" s="286"/>
      <c r="F163" s="246"/>
      <c r="G163" s="287"/>
      <c r="H163" s="76">
        <f t="shared" si="6"/>
        <v>215.34</v>
      </c>
      <c r="I163" s="76">
        <f t="shared" ref="I163:M163" si="11">SUM(I164:I168)</f>
        <v>0</v>
      </c>
      <c r="J163" s="76">
        <f t="shared" si="7"/>
        <v>215.34</v>
      </c>
      <c r="K163" s="76">
        <f>SUM(K164:K165)</f>
        <v>215.34</v>
      </c>
      <c r="L163" s="76">
        <f t="shared" si="11"/>
        <v>0</v>
      </c>
      <c r="M163" s="76">
        <f t="shared" si="11"/>
        <v>0</v>
      </c>
      <c r="N163" s="266"/>
      <c r="O163" s="76"/>
    </row>
    <row r="164" ht="36" spans="1:15">
      <c r="A164" s="252" t="s">
        <v>428</v>
      </c>
      <c r="B164" s="73" t="s">
        <v>133</v>
      </c>
      <c r="C164" s="73" t="s">
        <v>152</v>
      </c>
      <c r="D164" s="73" t="s">
        <v>166</v>
      </c>
      <c r="E164" s="74" t="s">
        <v>134</v>
      </c>
      <c r="F164" s="246"/>
      <c r="G164" s="75" t="s">
        <v>416</v>
      </c>
      <c r="H164" s="76">
        <f t="shared" si="6"/>
        <v>184.81</v>
      </c>
      <c r="I164" s="76"/>
      <c r="J164" s="76">
        <f t="shared" si="7"/>
        <v>184.81</v>
      </c>
      <c r="K164" s="76">
        <f>194.34-9.53</f>
        <v>184.81</v>
      </c>
      <c r="L164" s="76"/>
      <c r="M164" s="76"/>
      <c r="N164" s="266"/>
      <c r="O164" s="76"/>
    </row>
    <row r="165" ht="36" spans="1:15">
      <c r="A165" s="252" t="s">
        <v>428</v>
      </c>
      <c r="B165" s="73" t="s">
        <v>133</v>
      </c>
      <c r="C165" s="73" t="s">
        <v>152</v>
      </c>
      <c r="D165" s="73" t="s">
        <v>166</v>
      </c>
      <c r="E165" s="74" t="s">
        <v>417</v>
      </c>
      <c r="F165" s="246"/>
      <c r="G165" s="75" t="s">
        <v>418</v>
      </c>
      <c r="H165" s="76">
        <f t="shared" si="6"/>
        <v>30.53</v>
      </c>
      <c r="I165" s="76"/>
      <c r="J165" s="76">
        <f t="shared" si="7"/>
        <v>30.53</v>
      </c>
      <c r="K165" s="76">
        <f>21+9.53</f>
        <v>30.53</v>
      </c>
      <c r="L165" s="76"/>
      <c r="M165" s="76"/>
      <c r="N165" s="266"/>
      <c r="O165" s="79" t="s">
        <v>419</v>
      </c>
    </row>
    <row r="166" ht="36" spans="1:15">
      <c r="A166" s="252" t="s">
        <v>429</v>
      </c>
      <c r="B166" s="73"/>
      <c r="C166" s="73"/>
      <c r="D166" s="73"/>
      <c r="E166" s="286"/>
      <c r="F166" s="246"/>
      <c r="G166" s="287"/>
      <c r="H166" s="76">
        <f t="shared" si="6"/>
        <v>212.45</v>
      </c>
      <c r="I166" s="76">
        <f t="shared" ref="I166:M166" si="12">SUM(I167:I169)</f>
        <v>0</v>
      </c>
      <c r="J166" s="76">
        <f t="shared" si="7"/>
        <v>212.45</v>
      </c>
      <c r="K166" s="76">
        <f t="shared" si="12"/>
        <v>212.45</v>
      </c>
      <c r="L166" s="76">
        <f t="shared" si="12"/>
        <v>0</v>
      </c>
      <c r="M166" s="76">
        <f t="shared" si="12"/>
        <v>0</v>
      </c>
      <c r="N166" s="290"/>
      <c r="O166" s="76"/>
    </row>
    <row r="167" ht="36" spans="1:15">
      <c r="A167" s="252" t="s">
        <v>429</v>
      </c>
      <c r="B167" s="73" t="s">
        <v>133</v>
      </c>
      <c r="C167" s="73" t="s">
        <v>161</v>
      </c>
      <c r="D167" s="73" t="s">
        <v>166</v>
      </c>
      <c r="E167" s="74" t="s">
        <v>134</v>
      </c>
      <c r="F167" s="246"/>
      <c r="G167" s="75" t="s">
        <v>416</v>
      </c>
      <c r="H167" s="76">
        <f t="shared" si="6"/>
        <v>178.1</v>
      </c>
      <c r="I167" s="76"/>
      <c r="J167" s="76">
        <f t="shared" si="7"/>
        <v>178.1</v>
      </c>
      <c r="K167" s="76">
        <f>186.7-8.6</f>
        <v>178.1</v>
      </c>
      <c r="L167" s="76"/>
      <c r="M167" s="76"/>
      <c r="N167" s="291"/>
      <c r="O167" s="76"/>
    </row>
    <row r="168" ht="36" spans="1:15">
      <c r="A168" s="252" t="s">
        <v>429</v>
      </c>
      <c r="B168" s="73" t="s">
        <v>133</v>
      </c>
      <c r="C168" s="73" t="s">
        <v>161</v>
      </c>
      <c r="D168" s="73" t="s">
        <v>166</v>
      </c>
      <c r="E168" s="74" t="s">
        <v>417</v>
      </c>
      <c r="F168" s="246"/>
      <c r="G168" s="75" t="s">
        <v>418</v>
      </c>
      <c r="H168" s="76">
        <f t="shared" si="6"/>
        <v>24.35</v>
      </c>
      <c r="I168" s="76"/>
      <c r="J168" s="76">
        <f t="shared" si="7"/>
        <v>24.35</v>
      </c>
      <c r="K168" s="76">
        <f>15.75+8.6</f>
        <v>24.35</v>
      </c>
      <c r="L168" s="76"/>
      <c r="M168" s="76"/>
      <c r="N168" s="266"/>
      <c r="O168" s="79" t="s">
        <v>419</v>
      </c>
    </row>
    <row r="169" ht="36" spans="1:15">
      <c r="A169" s="252" t="s">
        <v>429</v>
      </c>
      <c r="B169" s="73" t="s">
        <v>133</v>
      </c>
      <c r="C169" s="73" t="s">
        <v>161</v>
      </c>
      <c r="D169" s="73" t="s">
        <v>149</v>
      </c>
      <c r="E169" s="74" t="s">
        <v>210</v>
      </c>
      <c r="F169" s="241" t="s">
        <v>210</v>
      </c>
      <c r="G169" s="75" t="s">
        <v>430</v>
      </c>
      <c r="H169" s="76">
        <f t="shared" si="6"/>
        <v>10</v>
      </c>
      <c r="I169" s="76"/>
      <c r="J169" s="76">
        <f t="shared" si="7"/>
        <v>10</v>
      </c>
      <c r="K169" s="76">
        <v>10</v>
      </c>
      <c r="L169" s="76"/>
      <c r="M169" s="76"/>
      <c r="N169" s="266">
        <v>10</v>
      </c>
      <c r="O169" s="272" t="s">
        <v>431</v>
      </c>
    </row>
    <row r="170" ht="36" spans="1:15">
      <c r="A170" s="252" t="s">
        <v>432</v>
      </c>
      <c r="B170" s="73"/>
      <c r="C170" s="73"/>
      <c r="D170" s="73"/>
      <c r="E170" s="286"/>
      <c r="F170" s="226"/>
      <c r="G170" s="287"/>
      <c r="H170" s="76">
        <f t="shared" si="6"/>
        <v>179.38</v>
      </c>
      <c r="I170" s="76">
        <f t="shared" ref="I170:M170" si="13">SUM(I171:I173)</f>
        <v>0</v>
      </c>
      <c r="J170" s="76">
        <f t="shared" si="7"/>
        <v>179.38</v>
      </c>
      <c r="K170" s="76">
        <f t="shared" si="13"/>
        <v>179.38</v>
      </c>
      <c r="L170" s="76">
        <f t="shared" si="13"/>
        <v>0</v>
      </c>
      <c r="M170" s="76">
        <f t="shared" si="13"/>
        <v>0</v>
      </c>
      <c r="N170" s="266"/>
      <c r="O170" s="269"/>
    </row>
    <row r="171" ht="36" spans="1:15">
      <c r="A171" s="252" t="s">
        <v>432</v>
      </c>
      <c r="B171" s="73" t="s">
        <v>133</v>
      </c>
      <c r="C171" s="73" t="s">
        <v>433</v>
      </c>
      <c r="D171" s="73" t="s">
        <v>166</v>
      </c>
      <c r="E171" s="74" t="s">
        <v>134</v>
      </c>
      <c r="F171" s="246"/>
      <c r="G171" s="75" t="s">
        <v>416</v>
      </c>
      <c r="H171" s="76">
        <f t="shared" si="6"/>
        <v>153.38</v>
      </c>
      <c r="I171" s="76"/>
      <c r="J171" s="76">
        <f t="shared" si="7"/>
        <v>153.38</v>
      </c>
      <c r="K171" s="76">
        <f>160.53-7.15</f>
        <v>153.38</v>
      </c>
      <c r="L171" s="76"/>
      <c r="M171" s="76"/>
      <c r="N171" s="266"/>
      <c r="O171" s="76"/>
    </row>
    <row r="172" ht="36" spans="1:15">
      <c r="A172" s="252" t="s">
        <v>432</v>
      </c>
      <c r="B172" s="73" t="s">
        <v>133</v>
      </c>
      <c r="C172" s="73" t="s">
        <v>433</v>
      </c>
      <c r="D172" s="73" t="s">
        <v>166</v>
      </c>
      <c r="E172" s="74" t="s">
        <v>417</v>
      </c>
      <c r="F172" s="246"/>
      <c r="G172" s="75" t="s">
        <v>418</v>
      </c>
      <c r="H172" s="76">
        <f t="shared" si="6"/>
        <v>22.9</v>
      </c>
      <c r="I172" s="76"/>
      <c r="J172" s="76">
        <f t="shared" si="7"/>
        <v>22.9</v>
      </c>
      <c r="K172" s="76">
        <f>15.75+7.15</f>
        <v>22.9</v>
      </c>
      <c r="L172" s="76"/>
      <c r="M172" s="76"/>
      <c r="N172" s="266"/>
      <c r="O172" s="79" t="s">
        <v>419</v>
      </c>
    </row>
    <row r="173" ht="36" spans="1:15">
      <c r="A173" s="252" t="s">
        <v>432</v>
      </c>
      <c r="B173" s="73" t="s">
        <v>165</v>
      </c>
      <c r="C173" s="73" t="s">
        <v>149</v>
      </c>
      <c r="D173" s="73" t="s">
        <v>149</v>
      </c>
      <c r="E173" s="74" t="s">
        <v>210</v>
      </c>
      <c r="F173" s="241" t="s">
        <v>210</v>
      </c>
      <c r="G173" s="75" t="s">
        <v>434</v>
      </c>
      <c r="H173" s="76">
        <f t="shared" si="6"/>
        <v>3.1</v>
      </c>
      <c r="I173" s="76"/>
      <c r="J173" s="76">
        <f t="shared" si="7"/>
        <v>3.1</v>
      </c>
      <c r="K173" s="76">
        <v>3.1</v>
      </c>
      <c r="L173" s="76"/>
      <c r="M173" s="76"/>
      <c r="N173" s="266">
        <v>3.1</v>
      </c>
      <c r="O173" s="80"/>
    </row>
    <row r="174" ht="36" spans="1:15">
      <c r="A174" s="252" t="s">
        <v>435</v>
      </c>
      <c r="B174" s="73"/>
      <c r="C174" s="73"/>
      <c r="D174" s="73"/>
      <c r="E174" s="286"/>
      <c r="F174" s="226"/>
      <c r="G174" s="287"/>
      <c r="H174" s="76">
        <f t="shared" si="6"/>
        <v>93.62</v>
      </c>
      <c r="I174" s="76">
        <f t="shared" ref="I174:M174" si="14">SUM(I175:I177)</f>
        <v>0</v>
      </c>
      <c r="J174" s="76">
        <f t="shared" si="7"/>
        <v>93.62</v>
      </c>
      <c r="K174" s="76">
        <f t="shared" si="14"/>
        <v>93.62</v>
      </c>
      <c r="L174" s="76">
        <f t="shared" si="14"/>
        <v>0</v>
      </c>
      <c r="M174" s="76">
        <f t="shared" si="14"/>
        <v>0</v>
      </c>
      <c r="N174" s="266"/>
      <c r="O174" s="80"/>
    </row>
    <row r="175" ht="36" spans="1:15">
      <c r="A175" s="252" t="s">
        <v>435</v>
      </c>
      <c r="B175" s="73" t="s">
        <v>133</v>
      </c>
      <c r="C175" s="73" t="s">
        <v>148</v>
      </c>
      <c r="D175" s="73" t="s">
        <v>166</v>
      </c>
      <c r="E175" s="74" t="s">
        <v>134</v>
      </c>
      <c r="F175" s="246"/>
      <c r="G175" s="75" t="s">
        <v>416</v>
      </c>
      <c r="H175" s="76">
        <f t="shared" si="6"/>
        <v>74.01</v>
      </c>
      <c r="I175" s="76"/>
      <c r="J175" s="76">
        <f t="shared" si="7"/>
        <v>74.01</v>
      </c>
      <c r="K175" s="76">
        <f>77.62-3.61</f>
        <v>74.01</v>
      </c>
      <c r="L175" s="76"/>
      <c r="M175" s="76"/>
      <c r="N175" s="266"/>
      <c r="O175" s="76"/>
    </row>
    <row r="176" ht="36" spans="1:15">
      <c r="A176" s="252" t="s">
        <v>435</v>
      </c>
      <c r="B176" s="73" t="s">
        <v>133</v>
      </c>
      <c r="C176" s="73" t="s">
        <v>148</v>
      </c>
      <c r="D176" s="73" t="s">
        <v>166</v>
      </c>
      <c r="E176" s="74" t="s">
        <v>417</v>
      </c>
      <c r="F176" s="246"/>
      <c r="G176" s="75" t="s">
        <v>418</v>
      </c>
      <c r="H176" s="76">
        <f t="shared" si="6"/>
        <v>10.61</v>
      </c>
      <c r="I176" s="76"/>
      <c r="J176" s="76">
        <f t="shared" si="7"/>
        <v>10.61</v>
      </c>
      <c r="K176" s="76">
        <f>7+3.61</f>
        <v>10.61</v>
      </c>
      <c r="L176" s="76"/>
      <c r="M176" s="76"/>
      <c r="N176" s="266"/>
      <c r="O176" s="79" t="s">
        <v>419</v>
      </c>
    </row>
    <row r="177" ht="36" spans="1:15">
      <c r="A177" s="252" t="s">
        <v>435</v>
      </c>
      <c r="B177" s="73" t="s">
        <v>133</v>
      </c>
      <c r="C177" s="73" t="s">
        <v>148</v>
      </c>
      <c r="D177" s="73" t="s">
        <v>149</v>
      </c>
      <c r="E177" s="74" t="s">
        <v>210</v>
      </c>
      <c r="F177" s="241" t="s">
        <v>210</v>
      </c>
      <c r="G177" s="75" t="s">
        <v>436</v>
      </c>
      <c r="H177" s="76">
        <f t="shared" si="6"/>
        <v>9</v>
      </c>
      <c r="I177" s="76"/>
      <c r="J177" s="76">
        <f t="shared" si="7"/>
        <v>9</v>
      </c>
      <c r="K177" s="76">
        <v>9</v>
      </c>
      <c r="L177" s="76"/>
      <c r="M177" s="76"/>
      <c r="N177" s="266">
        <v>9</v>
      </c>
      <c r="O177" s="80"/>
    </row>
    <row r="178" ht="36" spans="1:15">
      <c r="A178" s="252" t="s">
        <v>437</v>
      </c>
      <c r="B178" s="73"/>
      <c r="C178" s="73"/>
      <c r="D178" s="73"/>
      <c r="E178" s="286"/>
      <c r="F178" s="226"/>
      <c r="G178" s="287"/>
      <c r="H178" s="76">
        <f t="shared" si="6"/>
        <v>29.5</v>
      </c>
      <c r="I178" s="76">
        <f t="shared" ref="I178:M178" si="15">SUM(I179:I179)</f>
        <v>0</v>
      </c>
      <c r="J178" s="76">
        <f t="shared" si="7"/>
        <v>29.5</v>
      </c>
      <c r="K178" s="76">
        <f>SUM(K179:K180)</f>
        <v>29.5</v>
      </c>
      <c r="L178" s="76">
        <f t="shared" si="15"/>
        <v>0</v>
      </c>
      <c r="M178" s="76">
        <f t="shared" si="15"/>
        <v>0</v>
      </c>
      <c r="N178" s="266"/>
      <c r="O178" s="80"/>
    </row>
    <row r="179" ht="36" spans="1:15">
      <c r="A179" s="252" t="s">
        <v>437</v>
      </c>
      <c r="B179" s="73" t="s">
        <v>133</v>
      </c>
      <c r="C179" s="73" t="s">
        <v>182</v>
      </c>
      <c r="D179" s="73" t="s">
        <v>166</v>
      </c>
      <c r="E179" s="74" t="s">
        <v>134</v>
      </c>
      <c r="F179" s="246"/>
      <c r="G179" s="75" t="s">
        <v>416</v>
      </c>
      <c r="H179" s="76">
        <f t="shared" si="6"/>
        <v>25.28</v>
      </c>
      <c r="I179" s="76"/>
      <c r="J179" s="76">
        <f t="shared" si="7"/>
        <v>25.28</v>
      </c>
      <c r="K179" s="76">
        <f>26.7-1.42</f>
        <v>25.28</v>
      </c>
      <c r="L179" s="76"/>
      <c r="M179" s="76"/>
      <c r="N179" s="266"/>
      <c r="O179" s="76"/>
    </row>
    <row r="180" ht="36" spans="1:15">
      <c r="A180" s="252" t="s">
        <v>437</v>
      </c>
      <c r="B180" s="73" t="s">
        <v>133</v>
      </c>
      <c r="C180" s="73" t="s">
        <v>182</v>
      </c>
      <c r="D180" s="73" t="s">
        <v>166</v>
      </c>
      <c r="E180" s="74" t="s">
        <v>417</v>
      </c>
      <c r="F180" s="246"/>
      <c r="G180" s="75" t="s">
        <v>418</v>
      </c>
      <c r="H180" s="76">
        <f t="shared" si="6"/>
        <v>4.22</v>
      </c>
      <c r="I180" s="76"/>
      <c r="J180" s="76">
        <f t="shared" si="7"/>
        <v>4.22</v>
      </c>
      <c r="K180" s="76">
        <f>2.8+1.42</f>
        <v>4.22</v>
      </c>
      <c r="L180" s="76"/>
      <c r="M180" s="76"/>
      <c r="N180" s="266"/>
      <c r="O180" s="79" t="s">
        <v>419</v>
      </c>
    </row>
    <row r="181" ht="36" spans="1:15">
      <c r="A181" s="252" t="s">
        <v>438</v>
      </c>
      <c r="B181" s="73"/>
      <c r="C181" s="73"/>
      <c r="D181" s="73"/>
      <c r="E181" s="286"/>
      <c r="F181" s="246"/>
      <c r="G181" s="287"/>
      <c r="H181" s="76">
        <f t="shared" si="6"/>
        <v>892.24</v>
      </c>
      <c r="I181" s="276">
        <f t="shared" ref="I181:M181" si="16">SUM(I182:I187)</f>
        <v>0</v>
      </c>
      <c r="J181" s="76">
        <f t="shared" si="7"/>
        <v>892.24</v>
      </c>
      <c r="K181" s="276">
        <f t="shared" si="16"/>
        <v>892.24</v>
      </c>
      <c r="L181" s="276">
        <f t="shared" si="16"/>
        <v>0</v>
      </c>
      <c r="M181" s="276">
        <f t="shared" si="16"/>
        <v>0</v>
      </c>
      <c r="N181" s="266"/>
      <c r="O181" s="76"/>
    </row>
    <row r="182" ht="36" spans="1:15">
      <c r="A182" s="252" t="s">
        <v>438</v>
      </c>
      <c r="B182" s="73" t="s">
        <v>133</v>
      </c>
      <c r="C182" s="73" t="s">
        <v>166</v>
      </c>
      <c r="D182" s="73" t="s">
        <v>166</v>
      </c>
      <c r="E182" s="74" t="s">
        <v>134</v>
      </c>
      <c r="F182" s="246"/>
      <c r="G182" s="75" t="s">
        <v>416</v>
      </c>
      <c r="H182" s="76">
        <f t="shared" si="6"/>
        <v>734.57</v>
      </c>
      <c r="I182" s="76"/>
      <c r="J182" s="76">
        <f t="shared" si="7"/>
        <v>734.57</v>
      </c>
      <c r="K182" s="76">
        <f>766.21-31.64</f>
        <v>734.57</v>
      </c>
      <c r="L182" s="76"/>
      <c r="M182" s="76"/>
      <c r="N182" s="266"/>
      <c r="O182" s="76"/>
    </row>
    <row r="183" ht="36" spans="1:15">
      <c r="A183" s="252" t="s">
        <v>438</v>
      </c>
      <c r="B183" s="73" t="s">
        <v>133</v>
      </c>
      <c r="C183" s="73" t="s">
        <v>166</v>
      </c>
      <c r="D183" s="73" t="s">
        <v>166</v>
      </c>
      <c r="E183" s="74" t="s">
        <v>417</v>
      </c>
      <c r="F183" s="246"/>
      <c r="G183" s="75" t="s">
        <v>418</v>
      </c>
      <c r="H183" s="76">
        <f t="shared" si="6"/>
        <v>96.74</v>
      </c>
      <c r="I183" s="76"/>
      <c r="J183" s="76">
        <f t="shared" si="7"/>
        <v>96.74</v>
      </c>
      <c r="K183" s="76">
        <f>31.64+65.1</f>
        <v>96.74</v>
      </c>
      <c r="L183" s="76"/>
      <c r="M183" s="76"/>
      <c r="N183" s="266"/>
      <c r="O183" s="79" t="s">
        <v>419</v>
      </c>
    </row>
    <row r="184" ht="36" spans="1:15">
      <c r="A184" s="252" t="s">
        <v>438</v>
      </c>
      <c r="B184" s="73" t="s">
        <v>133</v>
      </c>
      <c r="C184" s="73" t="s">
        <v>166</v>
      </c>
      <c r="D184" s="73" t="s">
        <v>141</v>
      </c>
      <c r="E184" s="74" t="s">
        <v>210</v>
      </c>
      <c r="F184" s="241" t="s">
        <v>210</v>
      </c>
      <c r="G184" s="75" t="s">
        <v>439</v>
      </c>
      <c r="H184" s="76">
        <f t="shared" si="6"/>
        <v>41.5</v>
      </c>
      <c r="I184" s="76"/>
      <c r="J184" s="76">
        <f t="shared" si="7"/>
        <v>41.5</v>
      </c>
      <c r="K184" s="76">
        <v>41.5</v>
      </c>
      <c r="L184" s="76"/>
      <c r="M184" s="76"/>
      <c r="N184" s="266">
        <v>51.9</v>
      </c>
      <c r="O184" s="80" t="s">
        <v>440</v>
      </c>
    </row>
    <row r="185" ht="36" spans="1:15">
      <c r="A185" s="252" t="s">
        <v>438</v>
      </c>
      <c r="B185" s="73" t="s">
        <v>133</v>
      </c>
      <c r="C185" s="73" t="s">
        <v>166</v>
      </c>
      <c r="D185" s="73" t="s">
        <v>158</v>
      </c>
      <c r="E185" s="74" t="s">
        <v>210</v>
      </c>
      <c r="F185" s="241" t="s">
        <v>210</v>
      </c>
      <c r="G185" s="75" t="s">
        <v>441</v>
      </c>
      <c r="H185" s="76">
        <f t="shared" si="6"/>
        <v>16.3</v>
      </c>
      <c r="I185" s="76"/>
      <c r="J185" s="76">
        <f t="shared" si="7"/>
        <v>16.3</v>
      </c>
      <c r="K185" s="76">
        <v>16.3</v>
      </c>
      <c r="L185" s="76"/>
      <c r="M185" s="76"/>
      <c r="N185" s="266">
        <v>20</v>
      </c>
      <c r="O185" s="77" t="s">
        <v>442</v>
      </c>
    </row>
    <row r="186" ht="36" spans="1:15">
      <c r="A186" s="252" t="s">
        <v>438</v>
      </c>
      <c r="B186" s="73" t="s">
        <v>133</v>
      </c>
      <c r="C186" s="73" t="s">
        <v>166</v>
      </c>
      <c r="D186" s="73" t="s">
        <v>149</v>
      </c>
      <c r="E186" s="74" t="s">
        <v>210</v>
      </c>
      <c r="F186" s="241" t="s">
        <v>210</v>
      </c>
      <c r="G186" s="75" t="s">
        <v>434</v>
      </c>
      <c r="H186" s="76">
        <f t="shared" si="6"/>
        <v>1.13</v>
      </c>
      <c r="I186" s="76"/>
      <c r="J186" s="76">
        <f t="shared" si="7"/>
        <v>1.13</v>
      </c>
      <c r="K186" s="76">
        <v>1.13</v>
      </c>
      <c r="L186" s="76"/>
      <c r="M186" s="76"/>
      <c r="N186" s="266">
        <v>1.13</v>
      </c>
      <c r="O186" s="80"/>
    </row>
    <row r="187" ht="36" spans="1:15">
      <c r="A187" s="252" t="s">
        <v>438</v>
      </c>
      <c r="B187" s="73" t="s">
        <v>133</v>
      </c>
      <c r="C187" s="73" t="s">
        <v>166</v>
      </c>
      <c r="D187" s="73" t="s">
        <v>179</v>
      </c>
      <c r="E187" s="74" t="s">
        <v>210</v>
      </c>
      <c r="F187" s="241" t="s">
        <v>210</v>
      </c>
      <c r="G187" s="75" t="s">
        <v>443</v>
      </c>
      <c r="H187" s="76">
        <f t="shared" si="6"/>
        <v>2</v>
      </c>
      <c r="I187" s="76"/>
      <c r="J187" s="76">
        <f t="shared" si="7"/>
        <v>2</v>
      </c>
      <c r="K187" s="76">
        <v>2</v>
      </c>
      <c r="L187" s="76"/>
      <c r="M187" s="76"/>
      <c r="N187" s="266">
        <v>3</v>
      </c>
      <c r="O187" s="80"/>
    </row>
    <row r="188" ht="24" spans="1:15">
      <c r="A188" s="252" t="s">
        <v>444</v>
      </c>
      <c r="B188" s="73"/>
      <c r="C188" s="73"/>
      <c r="D188" s="73"/>
      <c r="E188" s="286"/>
      <c r="F188" s="246"/>
      <c r="G188" s="287"/>
      <c r="H188" s="76">
        <f t="shared" si="6"/>
        <v>682.06</v>
      </c>
      <c r="I188" s="276">
        <f t="shared" ref="I188:M188" si="17">SUM(I189:I193)</f>
        <v>0</v>
      </c>
      <c r="J188" s="76">
        <f t="shared" si="7"/>
        <v>682.06</v>
      </c>
      <c r="K188" s="276">
        <f t="shared" si="17"/>
        <v>682.06</v>
      </c>
      <c r="L188" s="276">
        <f t="shared" si="17"/>
        <v>0</v>
      </c>
      <c r="M188" s="276">
        <f t="shared" si="17"/>
        <v>0</v>
      </c>
      <c r="N188" s="266"/>
      <c r="O188" s="76"/>
    </row>
    <row r="189" ht="24" spans="1:15">
      <c r="A189" s="252" t="s">
        <v>444</v>
      </c>
      <c r="B189" s="73" t="s">
        <v>133</v>
      </c>
      <c r="C189" s="73" t="s">
        <v>145</v>
      </c>
      <c r="D189" s="73" t="s">
        <v>166</v>
      </c>
      <c r="E189" s="74" t="s">
        <v>134</v>
      </c>
      <c r="F189" s="246"/>
      <c r="G189" s="75" t="s">
        <v>416</v>
      </c>
      <c r="H189" s="76">
        <f t="shared" si="6"/>
        <v>524.7</v>
      </c>
      <c r="I189" s="76"/>
      <c r="J189" s="76">
        <f t="shared" si="7"/>
        <v>524.7</v>
      </c>
      <c r="K189" s="76">
        <f>544.76-20.06</f>
        <v>524.7</v>
      </c>
      <c r="L189" s="76"/>
      <c r="M189" s="76"/>
      <c r="N189" s="266"/>
      <c r="O189" s="76"/>
    </row>
    <row r="190" ht="36" spans="1:15">
      <c r="A190" s="252" t="s">
        <v>444</v>
      </c>
      <c r="B190" s="73" t="s">
        <v>133</v>
      </c>
      <c r="C190" s="73" t="s">
        <v>145</v>
      </c>
      <c r="D190" s="73" t="s">
        <v>166</v>
      </c>
      <c r="E190" s="74" t="s">
        <v>417</v>
      </c>
      <c r="F190" s="246"/>
      <c r="G190" s="75" t="s">
        <v>418</v>
      </c>
      <c r="H190" s="76">
        <f t="shared" si="6"/>
        <v>76.76</v>
      </c>
      <c r="I190" s="76"/>
      <c r="J190" s="76">
        <f t="shared" si="7"/>
        <v>76.76</v>
      </c>
      <c r="K190" s="76">
        <f>20.06+56.7</f>
        <v>76.76</v>
      </c>
      <c r="L190" s="76"/>
      <c r="M190" s="76"/>
      <c r="N190" s="266"/>
      <c r="O190" s="79" t="s">
        <v>419</v>
      </c>
    </row>
    <row r="191" ht="24" spans="1:15">
      <c r="A191" s="252" t="s">
        <v>444</v>
      </c>
      <c r="B191" s="73" t="s">
        <v>133</v>
      </c>
      <c r="C191" s="73" t="s">
        <v>145</v>
      </c>
      <c r="D191" s="73" t="s">
        <v>149</v>
      </c>
      <c r="E191" s="74" t="s">
        <v>210</v>
      </c>
      <c r="F191" s="241" t="s">
        <v>210</v>
      </c>
      <c r="G191" s="75" t="s">
        <v>445</v>
      </c>
      <c r="H191" s="76">
        <f t="shared" si="6"/>
        <v>70</v>
      </c>
      <c r="I191" s="76"/>
      <c r="J191" s="76">
        <f t="shared" si="7"/>
        <v>70</v>
      </c>
      <c r="K191" s="273">
        <v>70</v>
      </c>
      <c r="L191" s="76"/>
      <c r="M191" s="76"/>
      <c r="N191" s="292">
        <v>85</v>
      </c>
      <c r="O191" s="79" t="s">
        <v>446</v>
      </c>
    </row>
    <row r="192" ht="24" spans="1:15">
      <c r="A192" s="252" t="s">
        <v>444</v>
      </c>
      <c r="B192" s="73" t="s">
        <v>133</v>
      </c>
      <c r="C192" s="73" t="s">
        <v>145</v>
      </c>
      <c r="D192" s="73" t="s">
        <v>149</v>
      </c>
      <c r="E192" s="74" t="s">
        <v>210</v>
      </c>
      <c r="F192" s="241" t="s">
        <v>210</v>
      </c>
      <c r="G192" s="75" t="s">
        <v>447</v>
      </c>
      <c r="H192" s="76">
        <f t="shared" si="6"/>
        <v>5.6</v>
      </c>
      <c r="I192" s="76"/>
      <c r="J192" s="76">
        <f t="shared" si="7"/>
        <v>5.6</v>
      </c>
      <c r="K192" s="76">
        <v>5.6</v>
      </c>
      <c r="L192" s="76"/>
      <c r="M192" s="76"/>
      <c r="N192" s="266">
        <v>7.8</v>
      </c>
      <c r="O192" s="80"/>
    </row>
    <row r="193" ht="24" spans="1:15">
      <c r="A193" s="252" t="s">
        <v>444</v>
      </c>
      <c r="B193" s="73" t="s">
        <v>133</v>
      </c>
      <c r="C193" s="73" t="s">
        <v>145</v>
      </c>
      <c r="D193" s="73" t="s">
        <v>149</v>
      </c>
      <c r="E193" s="74" t="s">
        <v>210</v>
      </c>
      <c r="F193" s="241" t="s">
        <v>210</v>
      </c>
      <c r="G193" s="75" t="s">
        <v>422</v>
      </c>
      <c r="H193" s="76">
        <f t="shared" si="6"/>
        <v>5</v>
      </c>
      <c r="I193" s="76"/>
      <c r="J193" s="76">
        <f t="shared" si="7"/>
        <v>5</v>
      </c>
      <c r="K193" s="76">
        <v>5</v>
      </c>
      <c r="L193" s="76"/>
      <c r="M193" s="76"/>
      <c r="N193" s="266">
        <v>6</v>
      </c>
      <c r="O193" s="80"/>
    </row>
    <row r="194" ht="48" spans="1:15">
      <c r="A194" s="252" t="s">
        <v>448</v>
      </c>
      <c r="B194" s="73"/>
      <c r="C194" s="73"/>
      <c r="D194" s="73"/>
      <c r="E194" s="286"/>
      <c r="F194" s="246"/>
      <c r="G194" s="287"/>
      <c r="H194" s="76">
        <f t="shared" si="6"/>
        <v>665.64</v>
      </c>
      <c r="I194" s="76">
        <f t="shared" ref="I194:M194" si="18">SUM(I195:I198)</f>
        <v>0</v>
      </c>
      <c r="J194" s="76">
        <f t="shared" si="7"/>
        <v>665.64</v>
      </c>
      <c r="K194" s="76">
        <f t="shared" si="18"/>
        <v>665.64</v>
      </c>
      <c r="L194" s="76">
        <f t="shared" si="18"/>
        <v>0</v>
      </c>
      <c r="M194" s="76">
        <f t="shared" si="18"/>
        <v>0</v>
      </c>
      <c r="N194" s="266"/>
      <c r="O194" s="76"/>
    </row>
    <row r="195" ht="48" spans="1:15">
      <c r="A195" s="252" t="s">
        <v>448</v>
      </c>
      <c r="B195" s="73" t="s">
        <v>133</v>
      </c>
      <c r="C195" s="73" t="s">
        <v>225</v>
      </c>
      <c r="D195" s="73" t="s">
        <v>166</v>
      </c>
      <c r="E195" s="74" t="s">
        <v>134</v>
      </c>
      <c r="F195" s="246"/>
      <c r="G195" s="75" t="s">
        <v>416</v>
      </c>
      <c r="H195" s="76">
        <f t="shared" si="6"/>
        <v>533.88</v>
      </c>
      <c r="I195" s="76"/>
      <c r="J195" s="76">
        <f t="shared" si="7"/>
        <v>533.88</v>
      </c>
      <c r="K195" s="76">
        <f>558.24-24.36</f>
        <v>533.88</v>
      </c>
      <c r="L195" s="76"/>
      <c r="M195" s="76"/>
      <c r="N195" s="266"/>
      <c r="O195" s="76"/>
    </row>
    <row r="196" ht="48" spans="1:15">
      <c r="A196" s="252" t="s">
        <v>448</v>
      </c>
      <c r="B196" s="73" t="s">
        <v>133</v>
      </c>
      <c r="C196" s="73" t="s">
        <v>225</v>
      </c>
      <c r="D196" s="73" t="s">
        <v>166</v>
      </c>
      <c r="E196" s="74" t="s">
        <v>417</v>
      </c>
      <c r="F196" s="246"/>
      <c r="G196" s="75" t="s">
        <v>418</v>
      </c>
      <c r="H196" s="76">
        <f t="shared" si="6"/>
        <v>74.76</v>
      </c>
      <c r="I196" s="76"/>
      <c r="J196" s="76">
        <f t="shared" si="7"/>
        <v>74.76</v>
      </c>
      <c r="K196" s="76">
        <f>50.4+24.36</f>
        <v>74.76</v>
      </c>
      <c r="L196" s="76"/>
      <c r="M196" s="76"/>
      <c r="N196" s="266"/>
      <c r="O196" s="79" t="s">
        <v>419</v>
      </c>
    </row>
    <row r="197" ht="48" spans="1:15">
      <c r="A197" s="252" t="s">
        <v>448</v>
      </c>
      <c r="B197" s="73" t="s">
        <v>133</v>
      </c>
      <c r="C197" s="73" t="s">
        <v>225</v>
      </c>
      <c r="D197" s="73" t="s">
        <v>158</v>
      </c>
      <c r="E197" s="74" t="s">
        <v>210</v>
      </c>
      <c r="F197" s="241" t="s">
        <v>210</v>
      </c>
      <c r="G197" s="75" t="s">
        <v>449</v>
      </c>
      <c r="H197" s="76">
        <f t="shared" si="6"/>
        <v>16.2</v>
      </c>
      <c r="I197" s="76"/>
      <c r="J197" s="76">
        <f t="shared" si="7"/>
        <v>16.2</v>
      </c>
      <c r="K197" s="76">
        <v>16.2</v>
      </c>
      <c r="L197" s="76"/>
      <c r="M197" s="76"/>
      <c r="N197" s="266">
        <v>20</v>
      </c>
      <c r="O197" s="80"/>
    </row>
    <row r="198" ht="48" spans="1:15">
      <c r="A198" s="252" t="s">
        <v>448</v>
      </c>
      <c r="B198" s="73" t="s">
        <v>133</v>
      </c>
      <c r="C198" s="73" t="s">
        <v>225</v>
      </c>
      <c r="D198" s="73" t="s">
        <v>158</v>
      </c>
      <c r="E198" s="74" t="s">
        <v>210</v>
      </c>
      <c r="F198" s="241" t="s">
        <v>210</v>
      </c>
      <c r="G198" s="75" t="s">
        <v>450</v>
      </c>
      <c r="H198" s="76">
        <f t="shared" si="6"/>
        <v>40.8</v>
      </c>
      <c r="I198" s="76"/>
      <c r="J198" s="76">
        <f t="shared" si="7"/>
        <v>40.8</v>
      </c>
      <c r="K198" s="76">
        <v>40.8</v>
      </c>
      <c r="L198" s="76"/>
      <c r="M198" s="76"/>
      <c r="N198" s="266">
        <v>51</v>
      </c>
      <c r="O198" s="80"/>
    </row>
    <row r="199" ht="24" spans="1:15">
      <c r="A199" s="252" t="s">
        <v>451</v>
      </c>
      <c r="B199" s="73"/>
      <c r="C199" s="73"/>
      <c r="D199" s="73"/>
      <c r="E199" s="286"/>
      <c r="F199" s="246"/>
      <c r="G199" s="287"/>
      <c r="H199" s="76">
        <f t="shared" si="6"/>
        <v>420.74</v>
      </c>
      <c r="I199" s="276">
        <f t="shared" ref="I199:M199" si="19">SUM(I200:I202)</f>
        <v>0</v>
      </c>
      <c r="J199" s="76">
        <f t="shared" si="7"/>
        <v>420.74</v>
      </c>
      <c r="K199" s="276">
        <f t="shared" si="19"/>
        <v>420.74</v>
      </c>
      <c r="L199" s="276">
        <f t="shared" si="19"/>
        <v>0</v>
      </c>
      <c r="M199" s="276">
        <f t="shared" si="19"/>
        <v>0</v>
      </c>
      <c r="N199" s="266"/>
      <c r="O199" s="76"/>
    </row>
    <row r="200" ht="24" spans="1:15">
      <c r="A200" s="252" t="s">
        <v>451</v>
      </c>
      <c r="B200" s="73" t="s">
        <v>133</v>
      </c>
      <c r="C200" s="73" t="s">
        <v>158</v>
      </c>
      <c r="D200" s="73" t="s">
        <v>166</v>
      </c>
      <c r="E200" s="74" t="s">
        <v>134</v>
      </c>
      <c r="F200" s="246"/>
      <c r="G200" s="75" t="s">
        <v>416</v>
      </c>
      <c r="H200" s="76">
        <f t="shared" ref="H200:H263" si="20">I200+K200+L200+M200</f>
        <v>324.36</v>
      </c>
      <c r="I200" s="76"/>
      <c r="J200" s="76">
        <f t="shared" ref="J200:J263" si="21">K200+L200+M200</f>
        <v>324.36</v>
      </c>
      <c r="K200" s="76">
        <f>336.94-12.58</f>
        <v>324.36</v>
      </c>
      <c r="L200" s="76"/>
      <c r="M200" s="76"/>
      <c r="N200" s="266"/>
      <c r="O200" s="76"/>
    </row>
    <row r="201" ht="36" spans="1:15">
      <c r="A201" s="252" t="s">
        <v>451</v>
      </c>
      <c r="B201" s="73" t="s">
        <v>133</v>
      </c>
      <c r="C201" s="73" t="s">
        <v>158</v>
      </c>
      <c r="D201" s="73" t="s">
        <v>166</v>
      </c>
      <c r="E201" s="74" t="s">
        <v>417</v>
      </c>
      <c r="F201" s="246"/>
      <c r="G201" s="75" t="s">
        <v>418</v>
      </c>
      <c r="H201" s="76">
        <f t="shared" si="20"/>
        <v>36.38</v>
      </c>
      <c r="I201" s="76"/>
      <c r="J201" s="76">
        <f t="shared" si="21"/>
        <v>36.38</v>
      </c>
      <c r="K201" s="76">
        <f>23.8+12.58</f>
        <v>36.38</v>
      </c>
      <c r="L201" s="76"/>
      <c r="M201" s="76"/>
      <c r="N201" s="266"/>
      <c r="O201" s="79" t="s">
        <v>419</v>
      </c>
    </row>
    <row r="202" ht="24" spans="1:15">
      <c r="A202" s="252" t="s">
        <v>451</v>
      </c>
      <c r="B202" s="73" t="s">
        <v>133</v>
      </c>
      <c r="C202" s="73" t="s">
        <v>158</v>
      </c>
      <c r="D202" s="73" t="s">
        <v>452</v>
      </c>
      <c r="E202" s="74" t="s">
        <v>210</v>
      </c>
      <c r="F202" s="241" t="s">
        <v>210</v>
      </c>
      <c r="G202" s="75" t="s">
        <v>453</v>
      </c>
      <c r="H202" s="76">
        <f t="shared" si="20"/>
        <v>60</v>
      </c>
      <c r="I202" s="76"/>
      <c r="J202" s="76">
        <f t="shared" si="21"/>
        <v>60</v>
      </c>
      <c r="K202" s="273">
        <v>60</v>
      </c>
      <c r="L202" s="76"/>
      <c r="M202" s="76"/>
      <c r="N202" s="292">
        <v>90</v>
      </c>
      <c r="O202" s="79" t="s">
        <v>454</v>
      </c>
    </row>
    <row r="203" ht="36" spans="1:15">
      <c r="A203" s="252" t="s">
        <v>455</v>
      </c>
      <c r="B203" s="73"/>
      <c r="C203" s="73"/>
      <c r="D203" s="73"/>
      <c r="E203" s="286"/>
      <c r="F203" s="246"/>
      <c r="G203" s="287"/>
      <c r="H203" s="76">
        <f t="shared" si="20"/>
        <v>318.22</v>
      </c>
      <c r="I203" s="276">
        <f t="shared" ref="I203:M203" si="22">SUM(I204:I207)</f>
        <v>0</v>
      </c>
      <c r="J203" s="76">
        <f t="shared" si="21"/>
        <v>318.22</v>
      </c>
      <c r="K203" s="276">
        <f t="shared" si="22"/>
        <v>318.22</v>
      </c>
      <c r="L203" s="276">
        <f t="shared" si="22"/>
        <v>0</v>
      </c>
      <c r="M203" s="276">
        <f t="shared" si="22"/>
        <v>0</v>
      </c>
      <c r="N203" s="266"/>
      <c r="O203" s="76"/>
    </row>
    <row r="204" ht="36" spans="1:15">
      <c r="A204" s="252" t="s">
        <v>455</v>
      </c>
      <c r="B204" s="73" t="s">
        <v>194</v>
      </c>
      <c r="C204" s="73" t="s">
        <v>166</v>
      </c>
      <c r="D204" s="73" t="s">
        <v>166</v>
      </c>
      <c r="E204" s="74" t="s">
        <v>134</v>
      </c>
      <c r="F204" s="246"/>
      <c r="G204" s="75" t="s">
        <v>416</v>
      </c>
      <c r="H204" s="76">
        <f t="shared" si="20"/>
        <v>276.88</v>
      </c>
      <c r="I204" s="76"/>
      <c r="J204" s="76">
        <f t="shared" si="21"/>
        <v>276.88</v>
      </c>
      <c r="K204" s="76">
        <f>284.22-7.34</f>
        <v>276.88</v>
      </c>
      <c r="L204" s="76"/>
      <c r="M204" s="76"/>
      <c r="N204" s="266"/>
      <c r="O204" s="76"/>
    </row>
    <row r="205" ht="36" spans="1:15">
      <c r="A205" s="252" t="s">
        <v>455</v>
      </c>
      <c r="B205" s="73" t="s">
        <v>194</v>
      </c>
      <c r="C205" s="73" t="s">
        <v>166</v>
      </c>
      <c r="D205" s="73" t="s">
        <v>166</v>
      </c>
      <c r="E205" s="74" t="s">
        <v>417</v>
      </c>
      <c r="F205" s="246"/>
      <c r="G205" s="75" t="s">
        <v>418</v>
      </c>
      <c r="H205" s="76">
        <f t="shared" si="20"/>
        <v>21.34</v>
      </c>
      <c r="I205" s="76"/>
      <c r="J205" s="76">
        <f t="shared" si="21"/>
        <v>21.34</v>
      </c>
      <c r="K205" s="76">
        <f>7.34+14</f>
        <v>21.34</v>
      </c>
      <c r="L205" s="76"/>
      <c r="M205" s="76"/>
      <c r="N205" s="266"/>
      <c r="O205" s="79" t="s">
        <v>419</v>
      </c>
    </row>
    <row r="206" ht="36" spans="1:15">
      <c r="A206" s="252" t="s">
        <v>455</v>
      </c>
      <c r="B206" s="73" t="s">
        <v>194</v>
      </c>
      <c r="C206" s="73" t="s">
        <v>166</v>
      </c>
      <c r="D206" s="73" t="s">
        <v>149</v>
      </c>
      <c r="E206" s="74" t="s">
        <v>210</v>
      </c>
      <c r="F206" s="241" t="s">
        <v>210</v>
      </c>
      <c r="G206" s="75" t="s">
        <v>456</v>
      </c>
      <c r="H206" s="76">
        <f t="shared" si="20"/>
        <v>15</v>
      </c>
      <c r="I206" s="76"/>
      <c r="J206" s="76">
        <f t="shared" si="21"/>
        <v>15</v>
      </c>
      <c r="K206" s="76">
        <v>15</v>
      </c>
      <c r="L206" s="76"/>
      <c r="M206" s="76"/>
      <c r="N206" s="266">
        <v>18</v>
      </c>
      <c r="O206" s="80"/>
    </row>
    <row r="207" ht="36" spans="1:15">
      <c r="A207" s="75" t="s">
        <v>455</v>
      </c>
      <c r="B207" s="73" t="s">
        <v>194</v>
      </c>
      <c r="C207" s="73" t="s">
        <v>149</v>
      </c>
      <c r="D207" s="73" t="s">
        <v>149</v>
      </c>
      <c r="E207" s="74" t="s">
        <v>210</v>
      </c>
      <c r="F207" s="241" t="s">
        <v>210</v>
      </c>
      <c r="G207" s="75" t="s">
        <v>457</v>
      </c>
      <c r="H207" s="76">
        <f t="shared" si="20"/>
        <v>5</v>
      </c>
      <c r="I207" s="76"/>
      <c r="J207" s="76">
        <f t="shared" si="21"/>
        <v>5</v>
      </c>
      <c r="K207" s="76">
        <v>5</v>
      </c>
      <c r="L207" s="76"/>
      <c r="M207" s="76"/>
      <c r="N207" s="266">
        <v>10</v>
      </c>
      <c r="O207" s="80"/>
    </row>
    <row r="208" ht="24" spans="1:15">
      <c r="A208" s="252" t="s">
        <v>458</v>
      </c>
      <c r="B208" s="73"/>
      <c r="C208" s="73"/>
      <c r="D208" s="73"/>
      <c r="E208" s="286"/>
      <c r="F208" s="246"/>
      <c r="G208" s="287"/>
      <c r="H208" s="76">
        <f t="shared" si="20"/>
        <v>806.47</v>
      </c>
      <c r="I208" s="276">
        <f t="shared" ref="I208:M208" si="23">SUM(I209:I211)</f>
        <v>0</v>
      </c>
      <c r="J208" s="76">
        <f t="shared" si="21"/>
        <v>806.47</v>
      </c>
      <c r="K208" s="276">
        <f t="shared" si="23"/>
        <v>806.47</v>
      </c>
      <c r="L208" s="276">
        <f t="shared" si="23"/>
        <v>0</v>
      </c>
      <c r="M208" s="276">
        <f t="shared" si="23"/>
        <v>0</v>
      </c>
      <c r="N208" s="266"/>
      <c r="O208" s="76"/>
    </row>
    <row r="209" ht="24" spans="1:15">
      <c r="A209" s="252" t="s">
        <v>458</v>
      </c>
      <c r="B209" s="73" t="s">
        <v>133</v>
      </c>
      <c r="C209" s="73" t="s">
        <v>179</v>
      </c>
      <c r="D209" s="73" t="s">
        <v>166</v>
      </c>
      <c r="E209" s="74" t="s">
        <v>134</v>
      </c>
      <c r="F209" s="246"/>
      <c r="G209" s="75" t="s">
        <v>416</v>
      </c>
      <c r="H209" s="76">
        <f t="shared" si="20"/>
        <v>534.45</v>
      </c>
      <c r="I209" s="76"/>
      <c r="J209" s="76">
        <f t="shared" si="21"/>
        <v>534.45</v>
      </c>
      <c r="K209" s="76">
        <f>558.87-24.42</f>
        <v>534.45</v>
      </c>
      <c r="L209" s="76"/>
      <c r="M209" s="76"/>
      <c r="N209" s="266"/>
      <c r="O209" s="76"/>
    </row>
    <row r="210" ht="36" spans="1:15">
      <c r="A210" s="252" t="s">
        <v>458</v>
      </c>
      <c r="B210" s="73" t="s">
        <v>133</v>
      </c>
      <c r="C210" s="73" t="s">
        <v>179</v>
      </c>
      <c r="D210" s="73" t="s">
        <v>166</v>
      </c>
      <c r="E210" s="74" t="s">
        <v>417</v>
      </c>
      <c r="F210" s="246"/>
      <c r="G210" s="75" t="s">
        <v>418</v>
      </c>
      <c r="H210" s="76">
        <f t="shared" si="20"/>
        <v>72.02</v>
      </c>
      <c r="I210" s="76"/>
      <c r="J210" s="76">
        <f t="shared" si="21"/>
        <v>72.02</v>
      </c>
      <c r="K210" s="76">
        <f>24.42+47.6</f>
        <v>72.02</v>
      </c>
      <c r="L210" s="76"/>
      <c r="M210" s="76"/>
      <c r="N210" s="266"/>
      <c r="O210" s="79" t="s">
        <v>419</v>
      </c>
    </row>
    <row r="211" ht="24" spans="1:15">
      <c r="A211" s="252" t="s">
        <v>458</v>
      </c>
      <c r="B211" s="73" t="s">
        <v>133</v>
      </c>
      <c r="C211" s="73" t="s">
        <v>179</v>
      </c>
      <c r="D211" s="73" t="s">
        <v>149</v>
      </c>
      <c r="E211" s="74" t="s">
        <v>210</v>
      </c>
      <c r="F211" s="241" t="s">
        <v>135</v>
      </c>
      <c r="G211" s="75" t="s">
        <v>459</v>
      </c>
      <c r="H211" s="76">
        <f t="shared" si="20"/>
        <v>200</v>
      </c>
      <c r="I211" s="76"/>
      <c r="J211" s="76">
        <f t="shared" si="21"/>
        <v>200</v>
      </c>
      <c r="K211" s="76">
        <v>200</v>
      </c>
      <c r="L211" s="76"/>
      <c r="M211" s="76"/>
      <c r="N211" s="266">
        <v>239.6</v>
      </c>
      <c r="O211" s="77" t="s">
        <v>460</v>
      </c>
    </row>
    <row r="212" ht="24" spans="1:15">
      <c r="A212" s="252" t="s">
        <v>461</v>
      </c>
      <c r="B212" s="73"/>
      <c r="C212" s="73"/>
      <c r="D212" s="73"/>
      <c r="E212" s="286"/>
      <c r="F212" s="246"/>
      <c r="G212" s="287"/>
      <c r="H212" s="76">
        <f t="shared" si="20"/>
        <v>268.08</v>
      </c>
      <c r="I212" s="76">
        <f t="shared" ref="I212:M212" si="24">SUM(I213:I215)</f>
        <v>0</v>
      </c>
      <c r="J212" s="76">
        <f t="shared" si="21"/>
        <v>268.08</v>
      </c>
      <c r="K212" s="76">
        <f t="shared" si="24"/>
        <v>268.08</v>
      </c>
      <c r="L212" s="76">
        <f t="shared" si="24"/>
        <v>0</v>
      </c>
      <c r="M212" s="76">
        <f t="shared" si="24"/>
        <v>0</v>
      </c>
      <c r="N212" s="266"/>
      <c r="O212" s="76"/>
    </row>
    <row r="213" ht="24" spans="1:15">
      <c r="A213" s="252" t="s">
        <v>461</v>
      </c>
      <c r="B213" s="73" t="s">
        <v>133</v>
      </c>
      <c r="C213" s="73" t="s">
        <v>202</v>
      </c>
      <c r="D213" s="73" t="s">
        <v>166</v>
      </c>
      <c r="E213" s="74" t="s">
        <v>134</v>
      </c>
      <c r="F213" s="246"/>
      <c r="G213" s="75" t="s">
        <v>416</v>
      </c>
      <c r="H213" s="76">
        <f t="shared" si="20"/>
        <v>192.15</v>
      </c>
      <c r="I213" s="76"/>
      <c r="J213" s="76">
        <f t="shared" si="21"/>
        <v>192.15</v>
      </c>
      <c r="K213" s="76">
        <f>201.28-9.13</f>
        <v>192.15</v>
      </c>
      <c r="L213" s="76"/>
      <c r="M213" s="76"/>
      <c r="N213" s="266"/>
      <c r="O213" s="76"/>
    </row>
    <row r="214" ht="36" spans="1:15">
      <c r="A214" s="252" t="s">
        <v>461</v>
      </c>
      <c r="B214" s="73" t="s">
        <v>133</v>
      </c>
      <c r="C214" s="73" t="s">
        <v>202</v>
      </c>
      <c r="D214" s="73" t="s">
        <v>166</v>
      </c>
      <c r="E214" s="74" t="s">
        <v>417</v>
      </c>
      <c r="F214" s="246"/>
      <c r="G214" s="75" t="s">
        <v>418</v>
      </c>
      <c r="H214" s="76">
        <f t="shared" si="20"/>
        <v>25.93</v>
      </c>
      <c r="I214" s="76"/>
      <c r="J214" s="76">
        <f t="shared" si="21"/>
        <v>25.93</v>
      </c>
      <c r="K214" s="76">
        <f>9.13+16.8</f>
        <v>25.93</v>
      </c>
      <c r="L214" s="76"/>
      <c r="M214" s="76"/>
      <c r="N214" s="266"/>
      <c r="O214" s="79" t="s">
        <v>419</v>
      </c>
    </row>
    <row r="215" ht="24" spans="1:15">
      <c r="A215" s="252" t="s">
        <v>461</v>
      </c>
      <c r="B215" s="73" t="s">
        <v>133</v>
      </c>
      <c r="C215" s="73" t="s">
        <v>202</v>
      </c>
      <c r="D215" s="73" t="s">
        <v>158</v>
      </c>
      <c r="E215" s="74" t="s">
        <v>210</v>
      </c>
      <c r="F215" s="241" t="s">
        <v>210</v>
      </c>
      <c r="G215" s="75" t="s">
        <v>462</v>
      </c>
      <c r="H215" s="76">
        <f t="shared" si="20"/>
        <v>50</v>
      </c>
      <c r="I215" s="76"/>
      <c r="J215" s="76">
        <f t="shared" si="21"/>
        <v>50</v>
      </c>
      <c r="K215" s="76">
        <v>50</v>
      </c>
      <c r="L215" s="76"/>
      <c r="M215" s="76"/>
      <c r="N215" s="266">
        <v>60</v>
      </c>
      <c r="O215" s="80"/>
    </row>
    <row r="216" ht="36" spans="1:15">
      <c r="A216" s="252" t="s">
        <v>463</v>
      </c>
      <c r="B216" s="73"/>
      <c r="C216" s="73"/>
      <c r="D216" s="73"/>
      <c r="E216" s="286"/>
      <c r="F216" s="246"/>
      <c r="G216" s="287"/>
      <c r="H216" s="76">
        <f t="shared" si="20"/>
        <v>841.69</v>
      </c>
      <c r="I216" s="76">
        <f t="shared" ref="I216:M216" si="25">SUM(I217:I219)</f>
        <v>0</v>
      </c>
      <c r="J216" s="76">
        <f t="shared" si="21"/>
        <v>841.69</v>
      </c>
      <c r="K216" s="76">
        <f t="shared" si="25"/>
        <v>829.94</v>
      </c>
      <c r="L216" s="76">
        <f t="shared" si="25"/>
        <v>11.75</v>
      </c>
      <c r="M216" s="76">
        <f t="shared" si="25"/>
        <v>0</v>
      </c>
      <c r="N216" s="266"/>
      <c r="O216" s="76"/>
    </row>
    <row r="217" ht="36" spans="1:15">
      <c r="A217" s="252" t="s">
        <v>463</v>
      </c>
      <c r="B217" s="73" t="s">
        <v>262</v>
      </c>
      <c r="C217" s="73" t="s">
        <v>166</v>
      </c>
      <c r="D217" s="73" t="s">
        <v>166</v>
      </c>
      <c r="E217" s="74" t="s">
        <v>134</v>
      </c>
      <c r="F217" s="246"/>
      <c r="G217" s="75" t="s">
        <v>416</v>
      </c>
      <c r="H217" s="76">
        <f t="shared" si="20"/>
        <v>674.36</v>
      </c>
      <c r="I217" s="76"/>
      <c r="J217" s="76">
        <f t="shared" si="21"/>
        <v>674.36</v>
      </c>
      <c r="K217" s="76">
        <f>698.49-24.13</f>
        <v>674.36</v>
      </c>
      <c r="L217" s="76"/>
      <c r="M217" s="76"/>
      <c r="N217" s="266"/>
      <c r="O217" s="76"/>
    </row>
    <row r="218" ht="36" spans="1:15">
      <c r="A218" s="252" t="s">
        <v>463</v>
      </c>
      <c r="B218" s="73" t="s">
        <v>262</v>
      </c>
      <c r="C218" s="73" t="s">
        <v>166</v>
      </c>
      <c r="D218" s="73" t="s">
        <v>166</v>
      </c>
      <c r="E218" s="74" t="s">
        <v>417</v>
      </c>
      <c r="F218" s="246"/>
      <c r="G218" s="75" t="s">
        <v>418</v>
      </c>
      <c r="H218" s="76">
        <f t="shared" si="20"/>
        <v>70.33</v>
      </c>
      <c r="I218" s="76"/>
      <c r="J218" s="76">
        <f t="shared" si="21"/>
        <v>70.33</v>
      </c>
      <c r="K218" s="76">
        <f>24.13+46.2</f>
        <v>70.33</v>
      </c>
      <c r="L218" s="76"/>
      <c r="M218" s="76"/>
      <c r="N218" s="266"/>
      <c r="O218" s="79" t="s">
        <v>419</v>
      </c>
    </row>
    <row r="219" ht="52.8" spans="1:15">
      <c r="A219" s="252" t="s">
        <v>463</v>
      </c>
      <c r="B219" s="73" t="s">
        <v>262</v>
      </c>
      <c r="C219" s="73" t="s">
        <v>166</v>
      </c>
      <c r="D219" s="73" t="s">
        <v>142</v>
      </c>
      <c r="E219" s="74" t="s">
        <v>210</v>
      </c>
      <c r="F219" s="241" t="s">
        <v>210</v>
      </c>
      <c r="G219" s="75" t="s">
        <v>464</v>
      </c>
      <c r="H219" s="76">
        <f t="shared" si="20"/>
        <v>97</v>
      </c>
      <c r="I219" s="76"/>
      <c r="J219" s="76">
        <f t="shared" si="21"/>
        <v>97</v>
      </c>
      <c r="K219" s="283">
        <v>85.25</v>
      </c>
      <c r="L219" s="276">
        <v>11.75</v>
      </c>
      <c r="M219" s="76"/>
      <c r="N219" s="266">
        <v>15</v>
      </c>
      <c r="O219" s="79" t="s">
        <v>465</v>
      </c>
    </row>
    <row r="220" ht="24" spans="1:15">
      <c r="A220" s="252" t="s">
        <v>466</v>
      </c>
      <c r="B220" s="73"/>
      <c r="C220" s="73"/>
      <c r="D220" s="73"/>
      <c r="E220" s="286"/>
      <c r="F220" s="246"/>
      <c r="G220" s="287"/>
      <c r="H220" s="76">
        <f t="shared" si="20"/>
        <v>485.29</v>
      </c>
      <c r="I220" s="76">
        <f t="shared" ref="I220:M220" si="26">SUM(I221:I221)</f>
        <v>0</v>
      </c>
      <c r="J220" s="76">
        <f t="shared" si="21"/>
        <v>485.29</v>
      </c>
      <c r="K220" s="76">
        <f>SUM(K221:K222)</f>
        <v>485.29</v>
      </c>
      <c r="L220" s="76">
        <f t="shared" si="26"/>
        <v>0</v>
      </c>
      <c r="M220" s="76">
        <f t="shared" si="26"/>
        <v>0</v>
      </c>
      <c r="N220" s="266"/>
      <c r="O220" s="76"/>
    </row>
    <row r="221" ht="24" spans="1:15">
      <c r="A221" s="252" t="s">
        <v>466</v>
      </c>
      <c r="B221" s="73" t="s">
        <v>133</v>
      </c>
      <c r="C221" s="73" t="s">
        <v>201</v>
      </c>
      <c r="D221" s="73" t="s">
        <v>166</v>
      </c>
      <c r="E221" s="74" t="s">
        <v>134</v>
      </c>
      <c r="F221" s="246"/>
      <c r="G221" s="75" t="s">
        <v>416</v>
      </c>
      <c r="H221" s="76">
        <f t="shared" si="20"/>
        <v>448.41</v>
      </c>
      <c r="I221" s="76"/>
      <c r="J221" s="76">
        <f t="shared" si="21"/>
        <v>448.41</v>
      </c>
      <c r="K221" s="76">
        <f>461.49-13.08</f>
        <v>448.41</v>
      </c>
      <c r="L221" s="76"/>
      <c r="M221" s="76"/>
      <c r="N221" s="266"/>
      <c r="O221" s="76"/>
    </row>
    <row r="222" ht="36" spans="1:15">
      <c r="A222" s="252" t="s">
        <v>466</v>
      </c>
      <c r="B222" s="73" t="s">
        <v>133</v>
      </c>
      <c r="C222" s="73" t="s">
        <v>201</v>
      </c>
      <c r="D222" s="73" t="s">
        <v>166</v>
      </c>
      <c r="E222" s="74" t="s">
        <v>417</v>
      </c>
      <c r="F222" s="246"/>
      <c r="G222" s="75" t="s">
        <v>418</v>
      </c>
      <c r="H222" s="76">
        <f t="shared" si="20"/>
        <v>36.88</v>
      </c>
      <c r="I222" s="76"/>
      <c r="J222" s="76">
        <f t="shared" si="21"/>
        <v>36.88</v>
      </c>
      <c r="K222" s="76">
        <f>13.08+23.8</f>
        <v>36.88</v>
      </c>
      <c r="L222" s="76"/>
      <c r="M222" s="76"/>
      <c r="N222" s="266"/>
      <c r="O222" s="79" t="s">
        <v>419</v>
      </c>
    </row>
    <row r="223" ht="24" spans="1:15">
      <c r="A223" s="252" t="s">
        <v>467</v>
      </c>
      <c r="B223" s="73"/>
      <c r="C223" s="73"/>
      <c r="D223" s="73"/>
      <c r="E223" s="286"/>
      <c r="F223" s="246"/>
      <c r="G223" s="287"/>
      <c r="H223" s="76">
        <f t="shared" si="20"/>
        <v>430.74</v>
      </c>
      <c r="I223" s="76">
        <f t="shared" ref="I223:M223" si="27">SUM(I224:I226)</f>
        <v>0</v>
      </c>
      <c r="J223" s="76">
        <f t="shared" si="21"/>
        <v>430.74</v>
      </c>
      <c r="K223" s="76">
        <f t="shared" si="27"/>
        <v>430.74</v>
      </c>
      <c r="L223" s="76">
        <f t="shared" si="27"/>
        <v>0</v>
      </c>
      <c r="M223" s="76">
        <f t="shared" si="27"/>
        <v>0</v>
      </c>
      <c r="N223" s="266"/>
      <c r="O223" s="76"/>
    </row>
    <row r="224" ht="24" spans="1:15">
      <c r="A224" s="252" t="s">
        <v>467</v>
      </c>
      <c r="B224" s="73" t="s">
        <v>165</v>
      </c>
      <c r="C224" s="73" t="s">
        <v>179</v>
      </c>
      <c r="D224" s="73" t="s">
        <v>166</v>
      </c>
      <c r="E224" s="74" t="s">
        <v>134</v>
      </c>
      <c r="F224" s="246"/>
      <c r="G224" s="75" t="s">
        <v>416</v>
      </c>
      <c r="H224" s="76">
        <f t="shared" si="20"/>
        <v>378.82</v>
      </c>
      <c r="I224" s="76"/>
      <c r="J224" s="76">
        <f t="shared" si="21"/>
        <v>378.82</v>
      </c>
      <c r="K224" s="76">
        <f>395.54-16.72</f>
        <v>378.82</v>
      </c>
      <c r="L224" s="76"/>
      <c r="M224" s="76"/>
      <c r="N224" s="266"/>
      <c r="O224" s="76"/>
    </row>
    <row r="225" ht="36" spans="1:15">
      <c r="A225" s="252" t="s">
        <v>467</v>
      </c>
      <c r="B225" s="73" t="s">
        <v>165</v>
      </c>
      <c r="C225" s="73" t="s">
        <v>179</v>
      </c>
      <c r="D225" s="73" t="s">
        <v>166</v>
      </c>
      <c r="E225" s="74" t="s">
        <v>417</v>
      </c>
      <c r="F225" s="246"/>
      <c r="G225" s="75" t="s">
        <v>418</v>
      </c>
      <c r="H225" s="76">
        <f t="shared" si="20"/>
        <v>48.92</v>
      </c>
      <c r="I225" s="76"/>
      <c r="J225" s="76">
        <f t="shared" si="21"/>
        <v>48.92</v>
      </c>
      <c r="K225" s="76">
        <f>16.72+32.2</f>
        <v>48.92</v>
      </c>
      <c r="L225" s="76"/>
      <c r="M225" s="76"/>
      <c r="N225" s="266"/>
      <c r="O225" s="79" t="s">
        <v>419</v>
      </c>
    </row>
    <row r="226" ht="24" spans="1:15">
      <c r="A226" s="252" t="s">
        <v>467</v>
      </c>
      <c r="B226" s="73" t="s">
        <v>165</v>
      </c>
      <c r="C226" s="73" t="s">
        <v>179</v>
      </c>
      <c r="D226" s="73" t="s">
        <v>166</v>
      </c>
      <c r="E226" s="74" t="s">
        <v>210</v>
      </c>
      <c r="F226" s="241" t="s">
        <v>210</v>
      </c>
      <c r="G226" s="75" t="s">
        <v>422</v>
      </c>
      <c r="H226" s="76">
        <f t="shared" si="20"/>
        <v>3</v>
      </c>
      <c r="I226" s="76"/>
      <c r="J226" s="76">
        <f t="shared" si="21"/>
        <v>3</v>
      </c>
      <c r="K226" s="76">
        <v>3</v>
      </c>
      <c r="L226" s="76"/>
      <c r="M226" s="76"/>
      <c r="N226" s="266">
        <v>3</v>
      </c>
      <c r="O226" s="80"/>
    </row>
    <row r="227" ht="24" spans="1:15">
      <c r="A227" s="252" t="s">
        <v>468</v>
      </c>
      <c r="B227" s="73"/>
      <c r="C227" s="73"/>
      <c r="D227" s="73"/>
      <c r="E227" s="286"/>
      <c r="F227" s="246"/>
      <c r="G227" s="287"/>
      <c r="H227" s="76">
        <f t="shared" si="20"/>
        <v>183.23</v>
      </c>
      <c r="I227" s="76">
        <f t="shared" ref="I227:M227" si="28">SUM(I228:I228)</f>
        <v>0</v>
      </c>
      <c r="J227" s="76">
        <f t="shared" si="21"/>
        <v>183.23</v>
      </c>
      <c r="K227" s="76">
        <f>SUM(K228:K229)</f>
        <v>183.23</v>
      </c>
      <c r="L227" s="76">
        <f t="shared" si="28"/>
        <v>0</v>
      </c>
      <c r="M227" s="76">
        <f t="shared" si="28"/>
        <v>0</v>
      </c>
      <c r="N227" s="266"/>
      <c r="O227" s="76"/>
    </row>
    <row r="228" ht="24" spans="1:15">
      <c r="A228" s="252" t="s">
        <v>468</v>
      </c>
      <c r="B228" s="73" t="s">
        <v>248</v>
      </c>
      <c r="C228" s="73" t="s">
        <v>166</v>
      </c>
      <c r="D228" s="73" t="s">
        <v>166</v>
      </c>
      <c r="E228" s="74" t="s">
        <v>134</v>
      </c>
      <c r="F228" s="246"/>
      <c r="G228" s="75" t="s">
        <v>416</v>
      </c>
      <c r="H228" s="76">
        <f t="shared" si="20"/>
        <v>167.81</v>
      </c>
      <c r="I228" s="76"/>
      <c r="J228" s="76">
        <f t="shared" si="21"/>
        <v>167.81</v>
      </c>
      <c r="K228" s="76">
        <f>173.43-5.62</f>
        <v>167.81</v>
      </c>
      <c r="L228" s="76"/>
      <c r="M228" s="76"/>
      <c r="N228" s="266"/>
      <c r="O228" s="76"/>
    </row>
    <row r="229" ht="36" spans="1:15">
      <c r="A229" s="252" t="s">
        <v>468</v>
      </c>
      <c r="B229" s="73" t="s">
        <v>248</v>
      </c>
      <c r="C229" s="73" t="s">
        <v>166</v>
      </c>
      <c r="D229" s="73" t="s">
        <v>166</v>
      </c>
      <c r="E229" s="74" t="s">
        <v>417</v>
      </c>
      <c r="F229" s="246"/>
      <c r="G229" s="75" t="s">
        <v>418</v>
      </c>
      <c r="H229" s="76">
        <f t="shared" si="20"/>
        <v>15.42</v>
      </c>
      <c r="I229" s="76"/>
      <c r="J229" s="76">
        <f t="shared" si="21"/>
        <v>15.42</v>
      </c>
      <c r="K229" s="76">
        <f>5.62+9.8</f>
        <v>15.42</v>
      </c>
      <c r="L229" s="76"/>
      <c r="M229" s="76"/>
      <c r="N229" s="266"/>
      <c r="O229" s="79" t="s">
        <v>419</v>
      </c>
    </row>
    <row r="230" ht="24" spans="1:15">
      <c r="A230" s="252" t="s">
        <v>469</v>
      </c>
      <c r="B230" s="73"/>
      <c r="C230" s="73"/>
      <c r="D230" s="73"/>
      <c r="E230" s="286"/>
      <c r="F230" s="246"/>
      <c r="G230" s="287"/>
      <c r="H230" s="76">
        <f t="shared" si="20"/>
        <v>221.73</v>
      </c>
      <c r="I230" s="76">
        <f t="shared" ref="I230:M230" si="29">SUM(I231:I231)</f>
        <v>0</v>
      </c>
      <c r="J230" s="76">
        <f t="shared" si="21"/>
        <v>221.73</v>
      </c>
      <c r="K230" s="76">
        <f>SUM(K231:K232)</f>
        <v>221.73</v>
      </c>
      <c r="L230" s="76">
        <f t="shared" si="29"/>
        <v>0</v>
      </c>
      <c r="M230" s="76">
        <f t="shared" si="29"/>
        <v>0</v>
      </c>
      <c r="N230" s="266"/>
      <c r="O230" s="76"/>
    </row>
    <row r="231" ht="24" spans="1:15">
      <c r="A231" s="252" t="s">
        <v>469</v>
      </c>
      <c r="B231" s="73" t="s">
        <v>252</v>
      </c>
      <c r="C231" s="73" t="s">
        <v>166</v>
      </c>
      <c r="D231" s="73" t="s">
        <v>166</v>
      </c>
      <c r="E231" s="74" t="s">
        <v>134</v>
      </c>
      <c r="F231" s="246"/>
      <c r="G231" s="75" t="s">
        <v>416</v>
      </c>
      <c r="H231" s="76">
        <f t="shared" si="20"/>
        <v>196.66</v>
      </c>
      <c r="I231" s="76"/>
      <c r="J231" s="76">
        <f t="shared" si="21"/>
        <v>196.66</v>
      </c>
      <c r="K231" s="76">
        <f>206.33-9.67</f>
        <v>196.66</v>
      </c>
      <c r="L231" s="76"/>
      <c r="M231" s="76"/>
      <c r="N231" s="266"/>
      <c r="O231" s="76"/>
    </row>
    <row r="232" ht="36" spans="1:15">
      <c r="A232" s="252" t="s">
        <v>469</v>
      </c>
      <c r="B232" s="73" t="s">
        <v>252</v>
      </c>
      <c r="C232" s="73" t="s">
        <v>166</v>
      </c>
      <c r="D232" s="73" t="s">
        <v>166</v>
      </c>
      <c r="E232" s="74" t="s">
        <v>417</v>
      </c>
      <c r="F232" s="246"/>
      <c r="G232" s="75" t="s">
        <v>418</v>
      </c>
      <c r="H232" s="76">
        <f t="shared" si="20"/>
        <v>25.07</v>
      </c>
      <c r="I232" s="76"/>
      <c r="J232" s="76">
        <f t="shared" si="21"/>
        <v>25.07</v>
      </c>
      <c r="K232" s="76">
        <f>9.67+15.4</f>
        <v>25.07</v>
      </c>
      <c r="L232" s="76"/>
      <c r="M232" s="76"/>
      <c r="N232" s="266"/>
      <c r="O232" s="79" t="s">
        <v>419</v>
      </c>
    </row>
    <row r="233" ht="24" spans="1:15">
      <c r="A233" s="252" t="s">
        <v>470</v>
      </c>
      <c r="B233" s="73"/>
      <c r="C233" s="73"/>
      <c r="D233" s="73"/>
      <c r="E233" s="286"/>
      <c r="F233" s="246"/>
      <c r="G233" s="287"/>
      <c r="H233" s="76">
        <f t="shared" si="20"/>
        <v>135.42</v>
      </c>
      <c r="I233" s="76">
        <f t="shared" ref="I233:M233" si="30">SUM(I234:I234)</f>
        <v>0</v>
      </c>
      <c r="J233" s="76">
        <f t="shared" si="21"/>
        <v>135.42</v>
      </c>
      <c r="K233" s="76">
        <f>SUM(K234:K235)</f>
        <v>135.42</v>
      </c>
      <c r="L233" s="76">
        <f t="shared" si="30"/>
        <v>0</v>
      </c>
      <c r="M233" s="76">
        <f t="shared" si="30"/>
        <v>0</v>
      </c>
      <c r="N233" s="266"/>
      <c r="O233" s="76"/>
    </row>
    <row r="234" ht="24" spans="1:15">
      <c r="A234" s="252" t="s">
        <v>470</v>
      </c>
      <c r="B234" s="73" t="s">
        <v>133</v>
      </c>
      <c r="C234" s="73" t="s">
        <v>145</v>
      </c>
      <c r="D234" s="73" t="s">
        <v>166</v>
      </c>
      <c r="E234" s="74" t="s">
        <v>134</v>
      </c>
      <c r="F234" s="246"/>
      <c r="G234" s="75" t="s">
        <v>416</v>
      </c>
      <c r="H234" s="76">
        <f t="shared" si="20"/>
        <v>118.56</v>
      </c>
      <c r="I234" s="76"/>
      <c r="J234" s="76">
        <f t="shared" si="21"/>
        <v>118.56</v>
      </c>
      <c r="K234" s="76">
        <f>124.22-5.66</f>
        <v>118.56</v>
      </c>
      <c r="L234" s="76"/>
      <c r="M234" s="76"/>
      <c r="N234" s="266"/>
      <c r="O234" s="76"/>
    </row>
    <row r="235" ht="36" spans="1:15">
      <c r="A235" s="252" t="s">
        <v>470</v>
      </c>
      <c r="B235" s="73" t="s">
        <v>133</v>
      </c>
      <c r="C235" s="73" t="s">
        <v>145</v>
      </c>
      <c r="D235" s="73" t="s">
        <v>166</v>
      </c>
      <c r="E235" s="74" t="s">
        <v>417</v>
      </c>
      <c r="F235" s="246"/>
      <c r="G235" s="75" t="s">
        <v>418</v>
      </c>
      <c r="H235" s="76">
        <f t="shared" si="20"/>
        <v>16.86</v>
      </c>
      <c r="I235" s="76"/>
      <c r="J235" s="76">
        <f t="shared" si="21"/>
        <v>16.86</v>
      </c>
      <c r="K235" s="76">
        <f>11.2+5.66</f>
        <v>16.86</v>
      </c>
      <c r="L235" s="76"/>
      <c r="M235" s="76"/>
      <c r="N235" s="266"/>
      <c r="O235" s="79" t="s">
        <v>419</v>
      </c>
    </row>
    <row r="236" ht="24" spans="1:15">
      <c r="A236" s="252" t="s">
        <v>471</v>
      </c>
      <c r="B236" s="73"/>
      <c r="C236" s="73"/>
      <c r="D236" s="73"/>
      <c r="E236" s="286"/>
      <c r="F236" s="246"/>
      <c r="G236" s="287"/>
      <c r="H236" s="76">
        <f t="shared" si="20"/>
        <v>223.91</v>
      </c>
      <c r="I236" s="76">
        <f t="shared" ref="I236:M236" si="31">SUM(I237:I237)</f>
        <v>0</v>
      </c>
      <c r="J236" s="76">
        <f t="shared" si="21"/>
        <v>223.91</v>
      </c>
      <c r="K236" s="76">
        <f>SUM(K237:K238)</f>
        <v>223.91</v>
      </c>
      <c r="L236" s="76">
        <f t="shared" si="31"/>
        <v>0</v>
      </c>
      <c r="M236" s="76">
        <f t="shared" si="31"/>
        <v>0</v>
      </c>
      <c r="N236" s="266"/>
      <c r="O236" s="76"/>
    </row>
    <row r="237" ht="24" spans="1:15">
      <c r="A237" s="252" t="s">
        <v>471</v>
      </c>
      <c r="B237" s="73" t="s">
        <v>133</v>
      </c>
      <c r="C237" s="73" t="s">
        <v>142</v>
      </c>
      <c r="D237" s="73" t="s">
        <v>166</v>
      </c>
      <c r="E237" s="74" t="s">
        <v>134</v>
      </c>
      <c r="F237" s="246"/>
      <c r="G237" s="75" t="s">
        <v>416</v>
      </c>
      <c r="H237" s="76">
        <f t="shared" si="20"/>
        <v>200.43</v>
      </c>
      <c r="I237" s="76"/>
      <c r="J237" s="76">
        <f t="shared" si="21"/>
        <v>200.43</v>
      </c>
      <c r="K237" s="76">
        <f>208.51-8.08</f>
        <v>200.43</v>
      </c>
      <c r="L237" s="76"/>
      <c r="M237" s="76"/>
      <c r="N237" s="266"/>
      <c r="O237" s="76"/>
    </row>
    <row r="238" ht="36" spans="1:15">
      <c r="A238" s="252" t="s">
        <v>471</v>
      </c>
      <c r="B238" s="73" t="s">
        <v>133</v>
      </c>
      <c r="C238" s="73" t="s">
        <v>142</v>
      </c>
      <c r="D238" s="73" t="s">
        <v>166</v>
      </c>
      <c r="E238" s="74" t="s">
        <v>417</v>
      </c>
      <c r="F238" s="246"/>
      <c r="G238" s="75" t="s">
        <v>418</v>
      </c>
      <c r="H238" s="76">
        <f t="shared" si="20"/>
        <v>23.48</v>
      </c>
      <c r="I238" s="76"/>
      <c r="J238" s="76">
        <f t="shared" si="21"/>
        <v>23.48</v>
      </c>
      <c r="K238" s="76">
        <f>8.08+15.4</f>
        <v>23.48</v>
      </c>
      <c r="L238" s="76"/>
      <c r="M238" s="76"/>
      <c r="N238" s="266"/>
      <c r="O238" s="79" t="s">
        <v>419</v>
      </c>
    </row>
    <row r="239" ht="24" spans="1:15">
      <c r="A239" s="252" t="s">
        <v>472</v>
      </c>
      <c r="B239" s="73"/>
      <c r="C239" s="73"/>
      <c r="D239" s="73"/>
      <c r="E239" s="286"/>
      <c r="F239" s="246"/>
      <c r="G239" s="287"/>
      <c r="H239" s="76">
        <f t="shared" si="20"/>
        <v>2005.98</v>
      </c>
      <c r="I239" s="76">
        <f t="shared" ref="I239:M239" si="32">SUM(I240:I242)</f>
        <v>0</v>
      </c>
      <c r="J239" s="76">
        <f t="shared" si="21"/>
        <v>2005.98</v>
      </c>
      <c r="K239" s="76">
        <f t="shared" si="32"/>
        <v>2005.98</v>
      </c>
      <c r="L239" s="76">
        <f t="shared" si="32"/>
        <v>0</v>
      </c>
      <c r="M239" s="76">
        <f t="shared" si="32"/>
        <v>0</v>
      </c>
      <c r="N239" s="266"/>
      <c r="O239" s="76"/>
    </row>
    <row r="240" ht="24" spans="1:15">
      <c r="A240" s="252" t="s">
        <v>472</v>
      </c>
      <c r="B240" s="73" t="s">
        <v>133</v>
      </c>
      <c r="C240" s="73" t="s">
        <v>258</v>
      </c>
      <c r="D240" s="73" t="s">
        <v>166</v>
      </c>
      <c r="E240" s="74" t="s">
        <v>134</v>
      </c>
      <c r="F240" s="246"/>
      <c r="G240" s="75" t="s">
        <v>416</v>
      </c>
      <c r="H240" s="76">
        <f t="shared" si="20"/>
        <v>1505.88</v>
      </c>
      <c r="I240" s="76"/>
      <c r="J240" s="76">
        <f t="shared" si="21"/>
        <v>1505.88</v>
      </c>
      <c r="K240" s="76">
        <f>1586.68-80.8</f>
        <v>1505.88</v>
      </c>
      <c r="L240" s="76"/>
      <c r="M240" s="76"/>
      <c r="N240" s="266"/>
      <c r="O240" s="76"/>
    </row>
    <row r="241" ht="36" spans="1:15">
      <c r="A241" s="252" t="s">
        <v>472</v>
      </c>
      <c r="B241" s="73" t="s">
        <v>133</v>
      </c>
      <c r="C241" s="73" t="s">
        <v>258</v>
      </c>
      <c r="D241" s="73" t="s">
        <v>166</v>
      </c>
      <c r="E241" s="74" t="s">
        <v>417</v>
      </c>
      <c r="F241" s="246"/>
      <c r="G241" s="75" t="s">
        <v>418</v>
      </c>
      <c r="H241" s="76">
        <f t="shared" si="20"/>
        <v>232</v>
      </c>
      <c r="I241" s="76"/>
      <c r="J241" s="76">
        <f t="shared" si="21"/>
        <v>232</v>
      </c>
      <c r="K241" s="76">
        <f>151.2+80.8</f>
        <v>232</v>
      </c>
      <c r="L241" s="76"/>
      <c r="M241" s="76"/>
      <c r="N241" s="266"/>
      <c r="O241" s="79" t="s">
        <v>419</v>
      </c>
    </row>
    <row r="242" ht="24" spans="1:15">
      <c r="A242" s="252" t="s">
        <v>472</v>
      </c>
      <c r="B242" s="73" t="s">
        <v>133</v>
      </c>
      <c r="C242" s="73" t="s">
        <v>258</v>
      </c>
      <c r="D242" s="73" t="s">
        <v>145</v>
      </c>
      <c r="E242" s="74" t="s">
        <v>210</v>
      </c>
      <c r="F242" s="241" t="s">
        <v>210</v>
      </c>
      <c r="G242" s="75" t="s">
        <v>473</v>
      </c>
      <c r="H242" s="76">
        <f t="shared" si="20"/>
        <v>268.1</v>
      </c>
      <c r="I242" s="76"/>
      <c r="J242" s="76">
        <f t="shared" si="21"/>
        <v>268.1</v>
      </c>
      <c r="K242" s="76">
        <v>268.1</v>
      </c>
      <c r="L242" s="76"/>
      <c r="M242" s="76"/>
      <c r="N242" s="266">
        <v>278.1</v>
      </c>
      <c r="O242" s="80"/>
    </row>
    <row r="243" ht="24" spans="1:15">
      <c r="A243" s="252" t="s">
        <v>474</v>
      </c>
      <c r="B243" s="73"/>
      <c r="C243" s="73"/>
      <c r="D243" s="73"/>
      <c r="E243" s="286"/>
      <c r="F243" s="246"/>
      <c r="G243" s="287"/>
      <c r="H243" s="76">
        <f t="shared" si="20"/>
        <v>137.24</v>
      </c>
      <c r="I243" s="76">
        <f t="shared" ref="I243:M243" si="33">SUM(I244:I246)</f>
        <v>0</v>
      </c>
      <c r="J243" s="76">
        <f t="shared" si="21"/>
        <v>137.24</v>
      </c>
      <c r="K243" s="76">
        <f t="shared" si="33"/>
        <v>137.24</v>
      </c>
      <c r="L243" s="76">
        <f t="shared" si="33"/>
        <v>0</v>
      </c>
      <c r="M243" s="76">
        <f t="shared" si="33"/>
        <v>0</v>
      </c>
      <c r="N243" s="266"/>
      <c r="O243" s="76"/>
    </row>
    <row r="244" ht="24" spans="1:15">
      <c r="A244" s="252" t="s">
        <v>474</v>
      </c>
      <c r="B244" s="73" t="s">
        <v>262</v>
      </c>
      <c r="C244" s="73" t="s">
        <v>268</v>
      </c>
      <c r="D244" s="73" t="s">
        <v>166</v>
      </c>
      <c r="E244" s="74" t="s">
        <v>134</v>
      </c>
      <c r="F244" s="246"/>
      <c r="G244" s="75" t="s">
        <v>416</v>
      </c>
      <c r="H244" s="76">
        <f t="shared" si="20"/>
        <v>118.48</v>
      </c>
      <c r="I244" s="76"/>
      <c r="J244" s="76">
        <f t="shared" si="21"/>
        <v>118.48</v>
      </c>
      <c r="K244" s="76">
        <f>124.44-5.96</f>
        <v>118.48</v>
      </c>
      <c r="L244" s="76"/>
      <c r="M244" s="76"/>
      <c r="N244" s="266"/>
      <c r="O244" s="76"/>
    </row>
    <row r="245" ht="36" spans="1:15">
      <c r="A245" s="252" t="s">
        <v>474</v>
      </c>
      <c r="B245" s="73" t="s">
        <v>262</v>
      </c>
      <c r="C245" s="73" t="s">
        <v>268</v>
      </c>
      <c r="D245" s="73" t="s">
        <v>166</v>
      </c>
      <c r="E245" s="74" t="s">
        <v>417</v>
      </c>
      <c r="F245" s="246"/>
      <c r="G245" s="75" t="s">
        <v>418</v>
      </c>
      <c r="H245" s="76">
        <f t="shared" si="20"/>
        <v>15.76</v>
      </c>
      <c r="I245" s="76"/>
      <c r="J245" s="76">
        <f t="shared" si="21"/>
        <v>15.76</v>
      </c>
      <c r="K245" s="76">
        <f>9.8+5.96</f>
        <v>15.76</v>
      </c>
      <c r="L245" s="76"/>
      <c r="M245" s="76"/>
      <c r="N245" s="266"/>
      <c r="O245" s="79" t="s">
        <v>419</v>
      </c>
    </row>
    <row r="246" ht="24" spans="1:15">
      <c r="A246" s="252" t="s">
        <v>474</v>
      </c>
      <c r="B246" s="73" t="s">
        <v>262</v>
      </c>
      <c r="C246" s="73" t="s">
        <v>268</v>
      </c>
      <c r="D246" s="73" t="s">
        <v>166</v>
      </c>
      <c r="E246" s="74" t="s">
        <v>210</v>
      </c>
      <c r="F246" s="241" t="s">
        <v>210</v>
      </c>
      <c r="G246" s="75" t="s">
        <v>475</v>
      </c>
      <c r="H246" s="76">
        <f t="shared" si="20"/>
        <v>3</v>
      </c>
      <c r="I246" s="76"/>
      <c r="J246" s="76">
        <f t="shared" si="21"/>
        <v>3</v>
      </c>
      <c r="K246" s="279">
        <v>3</v>
      </c>
      <c r="L246" s="76"/>
      <c r="M246" s="76"/>
      <c r="N246" s="266">
        <v>3</v>
      </c>
      <c r="O246" s="281"/>
    </row>
    <row r="247" ht="24" spans="1:15">
      <c r="A247" s="252" t="s">
        <v>476</v>
      </c>
      <c r="B247" s="73"/>
      <c r="C247" s="73"/>
      <c r="D247" s="73"/>
      <c r="E247" s="286"/>
      <c r="F247" s="246"/>
      <c r="G247" s="287"/>
      <c r="H247" s="76">
        <f t="shared" si="20"/>
        <v>440.32</v>
      </c>
      <c r="I247" s="76">
        <f t="shared" ref="I247:M247" si="34">SUM(I248:I251)</f>
        <v>0</v>
      </c>
      <c r="J247" s="76">
        <f t="shared" si="21"/>
        <v>440.32</v>
      </c>
      <c r="K247" s="76">
        <f t="shared" si="34"/>
        <v>440.32</v>
      </c>
      <c r="L247" s="76">
        <f t="shared" si="34"/>
        <v>0</v>
      </c>
      <c r="M247" s="76">
        <f t="shared" si="34"/>
        <v>0</v>
      </c>
      <c r="N247" s="266"/>
      <c r="O247" s="76"/>
    </row>
    <row r="248" ht="24" spans="1:15">
      <c r="A248" s="252" t="s">
        <v>476</v>
      </c>
      <c r="B248" s="73" t="s">
        <v>133</v>
      </c>
      <c r="C248" s="73" t="s">
        <v>145</v>
      </c>
      <c r="D248" s="73" t="s">
        <v>166</v>
      </c>
      <c r="E248" s="74" t="s">
        <v>134</v>
      </c>
      <c r="F248" s="246"/>
      <c r="G248" s="75" t="s">
        <v>416</v>
      </c>
      <c r="H248" s="76">
        <f t="shared" si="20"/>
        <v>189.93</v>
      </c>
      <c r="I248" s="76"/>
      <c r="J248" s="76">
        <f t="shared" si="21"/>
        <v>189.93</v>
      </c>
      <c r="K248" s="76">
        <f>195.59-5.66</f>
        <v>189.93</v>
      </c>
      <c r="L248" s="76"/>
      <c r="M248" s="76"/>
      <c r="N248" s="266"/>
      <c r="O248" s="76"/>
    </row>
    <row r="249" ht="36" spans="1:15">
      <c r="A249" s="252" t="s">
        <v>476</v>
      </c>
      <c r="B249" s="73" t="s">
        <v>133</v>
      </c>
      <c r="C249" s="73" t="s">
        <v>145</v>
      </c>
      <c r="D249" s="73" t="s">
        <v>166</v>
      </c>
      <c r="E249" s="74" t="s">
        <v>417</v>
      </c>
      <c r="F249" s="246"/>
      <c r="G249" s="75" t="s">
        <v>418</v>
      </c>
      <c r="H249" s="76">
        <f t="shared" si="20"/>
        <v>16.86</v>
      </c>
      <c r="I249" s="76"/>
      <c r="J249" s="76">
        <f t="shared" si="21"/>
        <v>16.86</v>
      </c>
      <c r="K249" s="76">
        <f>11.2+5.66</f>
        <v>16.86</v>
      </c>
      <c r="L249" s="76"/>
      <c r="M249" s="76"/>
      <c r="N249" s="266"/>
      <c r="O249" s="79" t="s">
        <v>419</v>
      </c>
    </row>
    <row r="250" ht="26.4" spans="1:15">
      <c r="A250" s="252" t="s">
        <v>476</v>
      </c>
      <c r="B250" s="73" t="s">
        <v>133</v>
      </c>
      <c r="C250" s="73" t="s">
        <v>145</v>
      </c>
      <c r="D250" s="73" t="s">
        <v>149</v>
      </c>
      <c r="E250" s="74" t="s">
        <v>210</v>
      </c>
      <c r="F250" s="241" t="s">
        <v>210</v>
      </c>
      <c r="G250" s="75" t="s">
        <v>477</v>
      </c>
      <c r="H250" s="76">
        <f t="shared" si="20"/>
        <v>30.23</v>
      </c>
      <c r="I250" s="76"/>
      <c r="J250" s="76">
        <f t="shared" si="21"/>
        <v>30.23</v>
      </c>
      <c r="K250" s="76">
        <v>30.23</v>
      </c>
      <c r="L250" s="76"/>
      <c r="M250" s="76"/>
      <c r="N250" s="266">
        <v>32.23</v>
      </c>
      <c r="O250" s="77" t="s">
        <v>478</v>
      </c>
    </row>
    <row r="251" ht="51.6" spans="1:15">
      <c r="A251" s="252" t="s">
        <v>476</v>
      </c>
      <c r="B251" s="73" t="s">
        <v>133</v>
      </c>
      <c r="C251" s="73" t="s">
        <v>145</v>
      </c>
      <c r="D251" s="73" t="s">
        <v>149</v>
      </c>
      <c r="E251" s="74" t="s">
        <v>210</v>
      </c>
      <c r="F251" s="241" t="s">
        <v>210</v>
      </c>
      <c r="G251" s="75" t="s">
        <v>479</v>
      </c>
      <c r="H251" s="76">
        <f t="shared" si="20"/>
        <v>203.3</v>
      </c>
      <c r="I251" s="76"/>
      <c r="J251" s="76">
        <f t="shared" si="21"/>
        <v>203.3</v>
      </c>
      <c r="K251" s="76">
        <v>203.3</v>
      </c>
      <c r="L251" s="76"/>
      <c r="M251" s="76"/>
      <c r="N251" s="266">
        <v>601.09</v>
      </c>
      <c r="O251" s="77" t="s">
        <v>480</v>
      </c>
    </row>
    <row r="252" ht="24" spans="1:15">
      <c r="A252" s="252" t="s">
        <v>481</v>
      </c>
      <c r="B252" s="73"/>
      <c r="C252" s="73"/>
      <c r="D252" s="73"/>
      <c r="E252" s="286"/>
      <c r="F252" s="246"/>
      <c r="G252" s="287"/>
      <c r="H252" s="76">
        <f t="shared" si="20"/>
        <v>128.5</v>
      </c>
      <c r="I252" s="76">
        <f t="shared" ref="I252:M252" si="35">SUM(I253:I255)</f>
        <v>0</v>
      </c>
      <c r="J252" s="76">
        <f t="shared" si="21"/>
        <v>128.5</v>
      </c>
      <c r="K252" s="76">
        <f t="shared" si="35"/>
        <v>128.5</v>
      </c>
      <c r="L252" s="76">
        <f t="shared" si="35"/>
        <v>0</v>
      </c>
      <c r="M252" s="76">
        <f t="shared" si="35"/>
        <v>0</v>
      </c>
      <c r="N252" s="266"/>
      <c r="O252" s="76"/>
    </row>
    <row r="253" ht="24" spans="1:15">
      <c r="A253" s="252" t="s">
        <v>481</v>
      </c>
      <c r="B253" s="73" t="s">
        <v>347</v>
      </c>
      <c r="C253" s="73" t="s">
        <v>166</v>
      </c>
      <c r="D253" s="73" t="s">
        <v>166</v>
      </c>
      <c r="E253" s="74" t="s">
        <v>134</v>
      </c>
      <c r="F253" s="246"/>
      <c r="G253" s="75" t="s">
        <v>416</v>
      </c>
      <c r="H253" s="76">
        <f t="shared" si="20"/>
        <v>110.74</v>
      </c>
      <c r="I253" s="76"/>
      <c r="J253" s="76">
        <f t="shared" si="21"/>
        <v>110.74</v>
      </c>
      <c r="K253" s="76">
        <f>115.7-4.96</f>
        <v>110.74</v>
      </c>
      <c r="L253" s="76"/>
      <c r="M253" s="76"/>
      <c r="N253" s="266"/>
      <c r="O253" s="76"/>
    </row>
    <row r="254" ht="36" spans="1:15">
      <c r="A254" s="252" t="s">
        <v>481</v>
      </c>
      <c r="B254" s="73" t="s">
        <v>347</v>
      </c>
      <c r="C254" s="73" t="s">
        <v>166</v>
      </c>
      <c r="D254" s="73" t="s">
        <v>166</v>
      </c>
      <c r="E254" s="74" t="s">
        <v>417</v>
      </c>
      <c r="F254" s="246"/>
      <c r="G254" s="75" t="s">
        <v>418</v>
      </c>
      <c r="H254" s="76">
        <f t="shared" si="20"/>
        <v>14.76</v>
      </c>
      <c r="I254" s="76"/>
      <c r="J254" s="76">
        <f t="shared" si="21"/>
        <v>14.76</v>
      </c>
      <c r="K254" s="76">
        <f>4.96+9.8</f>
        <v>14.76</v>
      </c>
      <c r="L254" s="76"/>
      <c r="M254" s="76"/>
      <c r="N254" s="266"/>
      <c r="O254" s="79" t="s">
        <v>419</v>
      </c>
    </row>
    <row r="255" ht="24" spans="1:15">
      <c r="A255" s="252" t="s">
        <v>481</v>
      </c>
      <c r="B255" s="73" t="s">
        <v>347</v>
      </c>
      <c r="C255" s="73" t="s">
        <v>166</v>
      </c>
      <c r="D255" s="73" t="s">
        <v>166</v>
      </c>
      <c r="E255" s="74" t="s">
        <v>210</v>
      </c>
      <c r="F255" s="241" t="s">
        <v>210</v>
      </c>
      <c r="G255" s="75" t="s">
        <v>473</v>
      </c>
      <c r="H255" s="76">
        <f t="shared" si="20"/>
        <v>3</v>
      </c>
      <c r="I255" s="76"/>
      <c r="J255" s="76">
        <f t="shared" si="21"/>
        <v>3</v>
      </c>
      <c r="K255" s="76">
        <v>3</v>
      </c>
      <c r="L255" s="76"/>
      <c r="M255" s="76"/>
      <c r="N255" s="266">
        <v>7.66</v>
      </c>
      <c r="O255" s="80"/>
    </row>
    <row r="256" ht="24" spans="1:15">
      <c r="A256" s="252" t="s">
        <v>482</v>
      </c>
      <c r="B256" s="73"/>
      <c r="C256" s="73"/>
      <c r="D256" s="73"/>
      <c r="E256" s="286"/>
      <c r="F256" s="246"/>
      <c r="G256" s="287"/>
      <c r="H256" s="76">
        <f t="shared" si="20"/>
        <v>126.42</v>
      </c>
      <c r="I256" s="76">
        <f t="shared" ref="I256:M256" si="36">SUM(I96:I96)</f>
        <v>0</v>
      </c>
      <c r="J256" s="76">
        <f t="shared" si="21"/>
        <v>126.42</v>
      </c>
      <c r="K256" s="76">
        <f>SUM(K257:K258)</f>
        <v>126.42</v>
      </c>
      <c r="L256" s="76">
        <f t="shared" si="36"/>
        <v>0</v>
      </c>
      <c r="M256" s="76">
        <f t="shared" si="36"/>
        <v>0</v>
      </c>
      <c r="N256" s="266"/>
      <c r="O256" s="76"/>
    </row>
    <row r="257" ht="24" spans="1:15">
      <c r="A257" s="252" t="s">
        <v>482</v>
      </c>
      <c r="B257" s="243">
        <v>210</v>
      </c>
      <c r="C257" s="243">
        <v>15</v>
      </c>
      <c r="D257" s="73" t="s">
        <v>166</v>
      </c>
      <c r="E257" s="74" t="s">
        <v>134</v>
      </c>
      <c r="F257" s="246"/>
      <c r="G257" s="75" t="s">
        <v>416</v>
      </c>
      <c r="H257" s="76">
        <f t="shared" si="20"/>
        <v>109.63</v>
      </c>
      <c r="I257" s="76"/>
      <c r="J257" s="76">
        <f t="shared" si="21"/>
        <v>109.63</v>
      </c>
      <c r="K257" s="76">
        <f>115.22-5.59</f>
        <v>109.63</v>
      </c>
      <c r="L257" s="76"/>
      <c r="M257" s="76"/>
      <c r="N257" s="266"/>
      <c r="O257" s="76"/>
    </row>
    <row r="258" ht="36" spans="1:15">
      <c r="A258" s="252" t="s">
        <v>482</v>
      </c>
      <c r="B258" s="243">
        <v>210</v>
      </c>
      <c r="C258" s="243">
        <v>15</v>
      </c>
      <c r="D258" s="73" t="s">
        <v>166</v>
      </c>
      <c r="E258" s="74" t="s">
        <v>417</v>
      </c>
      <c r="F258" s="246"/>
      <c r="G258" s="75" t="s">
        <v>418</v>
      </c>
      <c r="H258" s="76">
        <f t="shared" si="20"/>
        <v>16.79</v>
      </c>
      <c r="I258" s="76"/>
      <c r="J258" s="76">
        <f t="shared" si="21"/>
        <v>16.79</v>
      </c>
      <c r="K258" s="76">
        <f>11.2+5.59</f>
        <v>16.79</v>
      </c>
      <c r="L258" s="76"/>
      <c r="M258" s="76"/>
      <c r="N258" s="266"/>
      <c r="O258" s="79" t="s">
        <v>419</v>
      </c>
    </row>
    <row r="259" ht="36" spans="1:15">
      <c r="A259" s="252" t="s">
        <v>483</v>
      </c>
      <c r="B259" s="73"/>
      <c r="C259" s="73"/>
      <c r="D259" s="73"/>
      <c r="E259" s="286"/>
      <c r="F259" s="246"/>
      <c r="G259" s="287"/>
      <c r="H259" s="76">
        <f t="shared" si="20"/>
        <v>112.95</v>
      </c>
      <c r="I259" s="76">
        <f t="shared" ref="I259:M259" si="37">SUM(I260:I260)</f>
        <v>0</v>
      </c>
      <c r="J259" s="76">
        <f t="shared" si="21"/>
        <v>112.95</v>
      </c>
      <c r="K259" s="76">
        <f>SUM(K260:K261)</f>
        <v>112.95</v>
      </c>
      <c r="L259" s="76">
        <f t="shared" si="37"/>
        <v>0</v>
      </c>
      <c r="M259" s="76">
        <f t="shared" si="37"/>
        <v>0</v>
      </c>
      <c r="N259" s="266"/>
      <c r="O259" s="76"/>
    </row>
    <row r="260" ht="36" spans="1:15">
      <c r="A260" s="252" t="s">
        <v>483</v>
      </c>
      <c r="B260" s="73" t="s">
        <v>133</v>
      </c>
      <c r="C260" s="73" t="s">
        <v>145</v>
      </c>
      <c r="D260" s="73" t="s">
        <v>166</v>
      </c>
      <c r="E260" s="74" t="s">
        <v>134</v>
      </c>
      <c r="F260" s="246"/>
      <c r="G260" s="75" t="s">
        <v>416</v>
      </c>
      <c r="H260" s="76">
        <f t="shared" si="20"/>
        <v>98.63</v>
      </c>
      <c r="I260" s="76"/>
      <c r="J260" s="76">
        <f t="shared" si="21"/>
        <v>98.63</v>
      </c>
      <c r="K260" s="76">
        <f>104.55-5.92</f>
        <v>98.63</v>
      </c>
      <c r="L260" s="76"/>
      <c r="M260" s="76"/>
      <c r="N260" s="266"/>
      <c r="O260" s="76"/>
    </row>
    <row r="261" ht="36" spans="1:15">
      <c r="A261" s="252" t="s">
        <v>483</v>
      </c>
      <c r="B261" s="73" t="s">
        <v>133</v>
      </c>
      <c r="C261" s="73" t="s">
        <v>145</v>
      </c>
      <c r="D261" s="73" t="s">
        <v>166</v>
      </c>
      <c r="E261" s="74" t="s">
        <v>417</v>
      </c>
      <c r="F261" s="246"/>
      <c r="G261" s="75" t="s">
        <v>418</v>
      </c>
      <c r="H261" s="76">
        <f t="shared" si="20"/>
        <v>14.32</v>
      </c>
      <c r="I261" s="76"/>
      <c r="J261" s="76">
        <f t="shared" si="21"/>
        <v>14.32</v>
      </c>
      <c r="K261" s="76">
        <f>5.92+8.4</f>
        <v>14.32</v>
      </c>
      <c r="L261" s="76"/>
      <c r="M261" s="76"/>
      <c r="N261" s="266"/>
      <c r="O261" s="79" t="s">
        <v>419</v>
      </c>
    </row>
    <row r="262" ht="36" spans="1:15">
      <c r="A262" s="252" t="s">
        <v>484</v>
      </c>
      <c r="B262" s="73"/>
      <c r="C262" s="73"/>
      <c r="D262" s="73"/>
      <c r="E262" s="286"/>
      <c r="F262" s="246"/>
      <c r="G262" s="287"/>
      <c r="H262" s="76">
        <f t="shared" si="20"/>
        <v>420.2</v>
      </c>
      <c r="I262" s="76">
        <f t="shared" ref="I262:M262" si="38">SUM(I263:I265)</f>
        <v>0</v>
      </c>
      <c r="J262" s="76">
        <f t="shared" si="21"/>
        <v>420.2</v>
      </c>
      <c r="K262" s="76">
        <f t="shared" si="38"/>
        <v>420.2</v>
      </c>
      <c r="L262" s="76">
        <f t="shared" si="38"/>
        <v>0</v>
      </c>
      <c r="M262" s="76">
        <f t="shared" si="38"/>
        <v>0</v>
      </c>
      <c r="N262" s="266"/>
      <c r="O262" s="76"/>
    </row>
    <row r="263" ht="36" spans="1:15">
      <c r="A263" s="252" t="s">
        <v>484</v>
      </c>
      <c r="B263" s="73" t="s">
        <v>194</v>
      </c>
      <c r="C263" s="73" t="s">
        <v>166</v>
      </c>
      <c r="D263" s="73" t="s">
        <v>166</v>
      </c>
      <c r="E263" s="74" t="s">
        <v>134</v>
      </c>
      <c r="F263" s="246"/>
      <c r="G263" s="75" t="s">
        <v>416</v>
      </c>
      <c r="H263" s="76">
        <f t="shared" si="20"/>
        <v>339.76</v>
      </c>
      <c r="I263" s="76"/>
      <c r="J263" s="76">
        <f t="shared" si="21"/>
        <v>339.76</v>
      </c>
      <c r="K263" s="76">
        <f>356.6-16.84</f>
        <v>339.76</v>
      </c>
      <c r="L263" s="76"/>
      <c r="M263" s="76"/>
      <c r="N263" s="266"/>
      <c r="O263" s="76"/>
    </row>
    <row r="264" ht="36" spans="1:15">
      <c r="A264" s="252" t="s">
        <v>484</v>
      </c>
      <c r="B264" s="73" t="s">
        <v>194</v>
      </c>
      <c r="C264" s="73" t="s">
        <v>166</v>
      </c>
      <c r="D264" s="73" t="s">
        <v>166</v>
      </c>
      <c r="E264" s="74" t="s">
        <v>417</v>
      </c>
      <c r="F264" s="246"/>
      <c r="G264" s="75" t="s">
        <v>418</v>
      </c>
      <c r="H264" s="76">
        <f t="shared" ref="H264:H327" si="39">I264+K264+L264+M264</f>
        <v>47.64</v>
      </c>
      <c r="I264" s="76"/>
      <c r="J264" s="76">
        <f t="shared" ref="J264:J327" si="40">K264+L264+M264</f>
        <v>47.64</v>
      </c>
      <c r="K264" s="76">
        <f>16.84+30.8</f>
        <v>47.64</v>
      </c>
      <c r="L264" s="76"/>
      <c r="M264" s="76"/>
      <c r="N264" s="266"/>
      <c r="O264" s="79" t="s">
        <v>419</v>
      </c>
    </row>
    <row r="265" ht="36" spans="1:15">
      <c r="A265" s="252" t="s">
        <v>484</v>
      </c>
      <c r="B265" s="73" t="s">
        <v>194</v>
      </c>
      <c r="C265" s="73" t="s">
        <v>166</v>
      </c>
      <c r="D265" s="73" t="s">
        <v>166</v>
      </c>
      <c r="E265" s="74" t="s">
        <v>210</v>
      </c>
      <c r="F265" s="241" t="s">
        <v>210</v>
      </c>
      <c r="G265" s="75" t="s">
        <v>473</v>
      </c>
      <c r="H265" s="76">
        <f t="shared" si="39"/>
        <v>32.8</v>
      </c>
      <c r="I265" s="76"/>
      <c r="J265" s="76">
        <f t="shared" si="40"/>
        <v>32.8</v>
      </c>
      <c r="K265" s="76">
        <v>32.8</v>
      </c>
      <c r="L265" s="76"/>
      <c r="M265" s="76"/>
      <c r="N265" s="266">
        <v>32.8</v>
      </c>
      <c r="O265" s="77" t="s">
        <v>485</v>
      </c>
    </row>
    <row r="266" ht="24" spans="1:15">
      <c r="A266" s="252" t="s">
        <v>486</v>
      </c>
      <c r="B266" s="73"/>
      <c r="C266" s="73"/>
      <c r="D266" s="73"/>
      <c r="E266" s="286"/>
      <c r="F266" s="246"/>
      <c r="G266" s="287"/>
      <c r="H266" s="76">
        <f t="shared" si="39"/>
        <v>72.59</v>
      </c>
      <c r="I266" s="76">
        <f t="shared" ref="I266:M266" si="41">SUM(I267:I267)</f>
        <v>0</v>
      </c>
      <c r="J266" s="76">
        <f t="shared" si="40"/>
        <v>72.59</v>
      </c>
      <c r="K266" s="76">
        <f>SUM(K267:K268)</f>
        <v>72.59</v>
      </c>
      <c r="L266" s="76">
        <f t="shared" si="41"/>
        <v>0</v>
      </c>
      <c r="M266" s="76">
        <f t="shared" si="41"/>
        <v>0</v>
      </c>
      <c r="N266" s="266"/>
      <c r="O266" s="76"/>
    </row>
    <row r="267" ht="24" spans="1:15">
      <c r="A267" s="252" t="s">
        <v>486</v>
      </c>
      <c r="B267" s="73" t="s">
        <v>194</v>
      </c>
      <c r="C267" s="73" t="s">
        <v>166</v>
      </c>
      <c r="D267" s="73" t="s">
        <v>166</v>
      </c>
      <c r="E267" s="74" t="s">
        <v>134</v>
      </c>
      <c r="F267" s="246"/>
      <c r="G267" s="75" t="s">
        <v>416</v>
      </c>
      <c r="H267" s="76">
        <f t="shared" si="39"/>
        <v>62</v>
      </c>
      <c r="I267" s="76"/>
      <c r="J267" s="76">
        <f t="shared" si="40"/>
        <v>62</v>
      </c>
      <c r="K267" s="76">
        <f>65.59-3.59</f>
        <v>62</v>
      </c>
      <c r="L267" s="76"/>
      <c r="M267" s="76"/>
      <c r="N267" s="266"/>
      <c r="O267" s="76"/>
    </row>
    <row r="268" ht="36" spans="1:15">
      <c r="A268" s="252" t="s">
        <v>486</v>
      </c>
      <c r="B268" s="73" t="s">
        <v>194</v>
      </c>
      <c r="C268" s="73" t="s">
        <v>166</v>
      </c>
      <c r="D268" s="73" t="s">
        <v>166</v>
      </c>
      <c r="E268" s="74" t="s">
        <v>417</v>
      </c>
      <c r="F268" s="246"/>
      <c r="G268" s="75" t="s">
        <v>418</v>
      </c>
      <c r="H268" s="76">
        <f t="shared" si="39"/>
        <v>10.59</v>
      </c>
      <c r="I268" s="76"/>
      <c r="J268" s="76">
        <f t="shared" si="40"/>
        <v>10.59</v>
      </c>
      <c r="K268" s="76">
        <f>7+3.59</f>
        <v>10.59</v>
      </c>
      <c r="L268" s="76"/>
      <c r="M268" s="76"/>
      <c r="N268" s="266"/>
      <c r="O268" s="79" t="s">
        <v>419</v>
      </c>
    </row>
    <row r="269" ht="24" spans="1:15">
      <c r="A269" s="252" t="s">
        <v>487</v>
      </c>
      <c r="B269" s="73"/>
      <c r="C269" s="73"/>
      <c r="D269" s="73"/>
      <c r="E269" s="286"/>
      <c r="F269" s="246"/>
      <c r="G269" s="287"/>
      <c r="H269" s="76">
        <f t="shared" si="39"/>
        <v>95.39</v>
      </c>
      <c r="I269" s="76">
        <f t="shared" ref="I269:M269" si="42">SUM(I270:I272)</f>
        <v>0</v>
      </c>
      <c r="J269" s="76">
        <f t="shared" si="40"/>
        <v>95.39</v>
      </c>
      <c r="K269" s="76">
        <f t="shared" si="42"/>
        <v>95.39</v>
      </c>
      <c r="L269" s="76">
        <f t="shared" si="42"/>
        <v>0</v>
      </c>
      <c r="M269" s="76">
        <f t="shared" si="42"/>
        <v>0</v>
      </c>
      <c r="N269" s="266"/>
      <c r="O269" s="76"/>
    </row>
    <row r="270" ht="24" spans="1:15">
      <c r="A270" s="252" t="s">
        <v>487</v>
      </c>
      <c r="B270" s="73" t="s">
        <v>248</v>
      </c>
      <c r="C270" s="73" t="s">
        <v>166</v>
      </c>
      <c r="D270" s="73" t="s">
        <v>166</v>
      </c>
      <c r="E270" s="74" t="s">
        <v>134</v>
      </c>
      <c r="F270" s="246"/>
      <c r="G270" s="75" t="s">
        <v>416</v>
      </c>
      <c r="H270" s="76">
        <f t="shared" si="39"/>
        <v>82.03</v>
      </c>
      <c r="I270" s="76"/>
      <c r="J270" s="76">
        <f t="shared" si="40"/>
        <v>82.03</v>
      </c>
      <c r="K270" s="76">
        <f>82.79-0.76</f>
        <v>82.03</v>
      </c>
      <c r="L270" s="76"/>
      <c r="M270" s="76"/>
      <c r="N270" s="266"/>
      <c r="O270" s="76"/>
    </row>
    <row r="271" ht="36" spans="1:15">
      <c r="A271" s="252" t="s">
        <v>487</v>
      </c>
      <c r="B271" s="73" t="s">
        <v>248</v>
      </c>
      <c r="C271" s="73" t="s">
        <v>166</v>
      </c>
      <c r="D271" s="73" t="s">
        <v>166</v>
      </c>
      <c r="E271" s="74" t="s">
        <v>417</v>
      </c>
      <c r="F271" s="246"/>
      <c r="G271" s="75" t="s">
        <v>418</v>
      </c>
      <c r="H271" s="76">
        <f t="shared" si="39"/>
        <v>6.36</v>
      </c>
      <c r="I271" s="76"/>
      <c r="J271" s="76">
        <f t="shared" si="40"/>
        <v>6.36</v>
      </c>
      <c r="K271" s="76">
        <f>0.76+5.6</f>
        <v>6.36</v>
      </c>
      <c r="L271" s="76"/>
      <c r="M271" s="76"/>
      <c r="N271" s="266"/>
      <c r="O271" s="79" t="s">
        <v>419</v>
      </c>
    </row>
    <row r="272" ht="24" spans="1:15">
      <c r="A272" s="252" t="s">
        <v>487</v>
      </c>
      <c r="B272" s="73" t="s">
        <v>248</v>
      </c>
      <c r="C272" s="73" t="s">
        <v>166</v>
      </c>
      <c r="D272" s="73" t="s">
        <v>202</v>
      </c>
      <c r="E272" s="74" t="s">
        <v>210</v>
      </c>
      <c r="F272" s="241" t="s">
        <v>210</v>
      </c>
      <c r="G272" s="75" t="s">
        <v>488</v>
      </c>
      <c r="H272" s="76">
        <f t="shared" si="39"/>
        <v>7</v>
      </c>
      <c r="I272" s="76"/>
      <c r="J272" s="76">
        <f t="shared" si="40"/>
        <v>7</v>
      </c>
      <c r="K272" s="76">
        <v>7</v>
      </c>
      <c r="L272" s="76"/>
      <c r="M272" s="76"/>
      <c r="N272" s="266">
        <v>10</v>
      </c>
      <c r="O272" s="80"/>
    </row>
    <row r="273" ht="24" spans="1:15">
      <c r="A273" s="252" t="s">
        <v>489</v>
      </c>
      <c r="B273" s="73"/>
      <c r="C273" s="73"/>
      <c r="D273" s="73"/>
      <c r="E273" s="286"/>
      <c r="F273" s="246"/>
      <c r="G273" s="287"/>
      <c r="H273" s="76">
        <f t="shared" si="39"/>
        <v>534.99</v>
      </c>
      <c r="I273" s="76">
        <f t="shared" ref="I273:M273" si="43">SUM(I274:I279)</f>
        <v>0</v>
      </c>
      <c r="J273" s="76">
        <f t="shared" si="40"/>
        <v>534.99</v>
      </c>
      <c r="K273" s="76">
        <f t="shared" si="43"/>
        <v>436.99</v>
      </c>
      <c r="L273" s="76">
        <f t="shared" si="43"/>
        <v>98</v>
      </c>
      <c r="M273" s="76">
        <f t="shared" si="43"/>
        <v>0</v>
      </c>
      <c r="N273" s="266"/>
      <c r="O273" s="76"/>
    </row>
    <row r="274" ht="24" spans="1:15">
      <c r="A274" s="252" t="s">
        <v>489</v>
      </c>
      <c r="B274" s="73" t="s">
        <v>336</v>
      </c>
      <c r="C274" s="73" t="s">
        <v>149</v>
      </c>
      <c r="D274" s="73" t="s">
        <v>149</v>
      </c>
      <c r="E274" s="74" t="s">
        <v>134</v>
      </c>
      <c r="F274" s="246"/>
      <c r="G274" s="75" t="s">
        <v>416</v>
      </c>
      <c r="H274" s="76">
        <f t="shared" si="39"/>
        <v>170.53</v>
      </c>
      <c r="I274" s="76"/>
      <c r="J274" s="76">
        <f t="shared" si="40"/>
        <v>170.53</v>
      </c>
      <c r="K274" s="76">
        <f>178.59-8.06</f>
        <v>170.53</v>
      </c>
      <c r="L274" s="76"/>
      <c r="M274" s="76"/>
      <c r="N274" s="266"/>
      <c r="O274" s="76"/>
    </row>
    <row r="275" ht="36" spans="1:15">
      <c r="A275" s="252" t="s">
        <v>489</v>
      </c>
      <c r="B275" s="73" t="s">
        <v>336</v>
      </c>
      <c r="C275" s="73" t="s">
        <v>149</v>
      </c>
      <c r="D275" s="73" t="s">
        <v>149</v>
      </c>
      <c r="E275" s="74" t="s">
        <v>417</v>
      </c>
      <c r="F275" s="246"/>
      <c r="G275" s="75" t="s">
        <v>418</v>
      </c>
      <c r="H275" s="76">
        <f t="shared" si="39"/>
        <v>22.06</v>
      </c>
      <c r="I275" s="76"/>
      <c r="J275" s="76">
        <f t="shared" si="40"/>
        <v>22.06</v>
      </c>
      <c r="K275" s="76">
        <f>8.06+14</f>
        <v>22.06</v>
      </c>
      <c r="L275" s="76"/>
      <c r="M275" s="76"/>
      <c r="N275" s="266"/>
      <c r="O275" s="79" t="s">
        <v>419</v>
      </c>
    </row>
    <row r="276" ht="24" spans="1:15">
      <c r="A276" s="252" t="s">
        <v>489</v>
      </c>
      <c r="B276" s="73" t="s">
        <v>336</v>
      </c>
      <c r="C276" s="73" t="s">
        <v>149</v>
      </c>
      <c r="D276" s="73" t="s">
        <v>149</v>
      </c>
      <c r="E276" s="74" t="s">
        <v>210</v>
      </c>
      <c r="F276" s="241" t="s">
        <v>210</v>
      </c>
      <c r="G276" s="75" t="s">
        <v>490</v>
      </c>
      <c r="H276" s="76">
        <f t="shared" si="39"/>
        <v>26</v>
      </c>
      <c r="I276" s="76"/>
      <c r="J276" s="76">
        <f t="shared" si="40"/>
        <v>26</v>
      </c>
      <c r="K276" s="76">
        <v>26</v>
      </c>
      <c r="L276" s="76"/>
      <c r="M276" s="76"/>
      <c r="N276" s="266">
        <v>33</v>
      </c>
      <c r="O276" s="80"/>
    </row>
    <row r="277" ht="24" spans="1:15">
      <c r="A277" s="252" t="s">
        <v>489</v>
      </c>
      <c r="B277" s="73" t="s">
        <v>336</v>
      </c>
      <c r="C277" s="73" t="s">
        <v>149</v>
      </c>
      <c r="D277" s="73" t="s">
        <v>149</v>
      </c>
      <c r="E277" s="74" t="s">
        <v>210</v>
      </c>
      <c r="F277" s="241" t="s">
        <v>210</v>
      </c>
      <c r="G277" s="75" t="s">
        <v>491</v>
      </c>
      <c r="H277" s="76">
        <f t="shared" si="39"/>
        <v>114.4</v>
      </c>
      <c r="I277" s="76"/>
      <c r="J277" s="76">
        <f t="shared" si="40"/>
        <v>114.4</v>
      </c>
      <c r="K277" s="76">
        <v>114.4</v>
      </c>
      <c r="L277" s="76"/>
      <c r="M277" s="76"/>
      <c r="N277" s="266">
        <v>130</v>
      </c>
      <c r="O277" s="80" t="s">
        <v>492</v>
      </c>
    </row>
    <row r="278" ht="24" spans="1:15">
      <c r="A278" s="252" t="s">
        <v>489</v>
      </c>
      <c r="B278" s="73" t="s">
        <v>336</v>
      </c>
      <c r="C278" s="73" t="s">
        <v>149</v>
      </c>
      <c r="D278" s="73" t="s">
        <v>149</v>
      </c>
      <c r="E278" s="74" t="s">
        <v>210</v>
      </c>
      <c r="F278" s="241" t="s">
        <v>210</v>
      </c>
      <c r="G278" s="75" t="s">
        <v>493</v>
      </c>
      <c r="H278" s="76">
        <f t="shared" si="39"/>
        <v>104</v>
      </c>
      <c r="I278" s="76"/>
      <c r="J278" s="76">
        <f t="shared" si="40"/>
        <v>104</v>
      </c>
      <c r="K278" s="76">
        <v>104</v>
      </c>
      <c r="L278" s="76"/>
      <c r="M278" s="76"/>
      <c r="N278" s="266">
        <v>130</v>
      </c>
      <c r="O278" s="80" t="s">
        <v>494</v>
      </c>
    </row>
    <row r="279" ht="24" spans="1:15">
      <c r="A279" s="252" t="s">
        <v>489</v>
      </c>
      <c r="B279" s="73" t="s">
        <v>336</v>
      </c>
      <c r="C279" s="73" t="s">
        <v>149</v>
      </c>
      <c r="D279" s="73" t="s">
        <v>149</v>
      </c>
      <c r="E279" s="74" t="s">
        <v>210</v>
      </c>
      <c r="F279" s="241" t="s">
        <v>210</v>
      </c>
      <c r="G279" s="75" t="s">
        <v>495</v>
      </c>
      <c r="H279" s="76">
        <f t="shared" si="39"/>
        <v>98</v>
      </c>
      <c r="I279" s="76"/>
      <c r="J279" s="76">
        <f t="shared" si="40"/>
        <v>98</v>
      </c>
      <c r="K279" s="76"/>
      <c r="L279" s="76">
        <v>98</v>
      </c>
      <c r="M279" s="76"/>
      <c r="N279" s="266"/>
      <c r="O279" s="80"/>
    </row>
    <row r="280" ht="24" spans="1:15">
      <c r="A280" s="252" t="s">
        <v>496</v>
      </c>
      <c r="B280" s="73"/>
      <c r="C280" s="73"/>
      <c r="D280" s="73"/>
      <c r="E280" s="286"/>
      <c r="F280" s="246"/>
      <c r="G280" s="287"/>
      <c r="H280" s="76">
        <f t="shared" si="39"/>
        <v>2951.09</v>
      </c>
      <c r="I280" s="76">
        <f t="shared" ref="I280:M280" si="44">SUM(I281:I286)</f>
        <v>0</v>
      </c>
      <c r="J280" s="76">
        <f t="shared" si="40"/>
        <v>2951.09</v>
      </c>
      <c r="K280" s="76">
        <f t="shared" si="44"/>
        <v>2911.09</v>
      </c>
      <c r="L280" s="76">
        <f t="shared" si="44"/>
        <v>40</v>
      </c>
      <c r="M280" s="76">
        <f t="shared" si="44"/>
        <v>0</v>
      </c>
      <c r="N280" s="266"/>
      <c r="O280" s="76"/>
    </row>
    <row r="281" ht="24" spans="1:15">
      <c r="A281" s="252" t="s">
        <v>496</v>
      </c>
      <c r="B281" s="73" t="s">
        <v>133</v>
      </c>
      <c r="C281" s="73" t="s">
        <v>145</v>
      </c>
      <c r="D281" s="73" t="s">
        <v>166</v>
      </c>
      <c r="E281" s="74" t="s">
        <v>134</v>
      </c>
      <c r="F281" s="246"/>
      <c r="G281" s="75" t="s">
        <v>416</v>
      </c>
      <c r="H281" s="76">
        <f t="shared" si="39"/>
        <v>422.22</v>
      </c>
      <c r="I281" s="76"/>
      <c r="J281" s="76">
        <f t="shared" si="40"/>
        <v>422.22</v>
      </c>
      <c r="K281" s="76">
        <f>436.09-13.87</f>
        <v>422.22</v>
      </c>
      <c r="L281" s="76"/>
      <c r="M281" s="76"/>
      <c r="N281" s="266"/>
      <c r="O281" s="76"/>
    </row>
    <row r="282" ht="36" spans="1:15">
      <c r="A282" s="252" t="s">
        <v>496</v>
      </c>
      <c r="B282" s="73" t="s">
        <v>133</v>
      </c>
      <c r="C282" s="73" t="s">
        <v>145</v>
      </c>
      <c r="D282" s="73" t="s">
        <v>166</v>
      </c>
      <c r="E282" s="74" t="s">
        <v>417</v>
      </c>
      <c r="F282" s="246"/>
      <c r="G282" s="75" t="s">
        <v>418</v>
      </c>
      <c r="H282" s="76">
        <f t="shared" si="39"/>
        <v>41.87</v>
      </c>
      <c r="I282" s="76"/>
      <c r="J282" s="76">
        <f t="shared" si="40"/>
        <v>41.87</v>
      </c>
      <c r="K282" s="76">
        <f>13.87+28</f>
        <v>41.87</v>
      </c>
      <c r="L282" s="76"/>
      <c r="M282" s="76"/>
      <c r="N282" s="266"/>
      <c r="O282" s="79" t="s">
        <v>419</v>
      </c>
    </row>
    <row r="283" ht="39.6" spans="1:15">
      <c r="A283" s="252" t="s">
        <v>496</v>
      </c>
      <c r="B283" s="73" t="s">
        <v>133</v>
      </c>
      <c r="C283" s="73" t="s">
        <v>145</v>
      </c>
      <c r="D283" s="73" t="s">
        <v>166</v>
      </c>
      <c r="E283" s="74" t="s">
        <v>210</v>
      </c>
      <c r="F283" s="241" t="s">
        <v>210</v>
      </c>
      <c r="G283" s="75" t="s">
        <v>497</v>
      </c>
      <c r="H283" s="76">
        <f t="shared" si="39"/>
        <v>299</v>
      </c>
      <c r="I283" s="76"/>
      <c r="J283" s="76">
        <f t="shared" si="40"/>
        <v>299</v>
      </c>
      <c r="K283" s="76">
        <v>299</v>
      </c>
      <c r="L283" s="76"/>
      <c r="M283" s="76"/>
      <c r="N283" s="266">
        <v>313.35</v>
      </c>
      <c r="O283" s="79" t="s">
        <v>498</v>
      </c>
    </row>
    <row r="284" ht="24" spans="1:15">
      <c r="A284" s="252" t="s">
        <v>496</v>
      </c>
      <c r="B284" s="73" t="s">
        <v>133</v>
      </c>
      <c r="C284" s="73" t="s">
        <v>145</v>
      </c>
      <c r="D284" s="73" t="s">
        <v>166</v>
      </c>
      <c r="E284" s="74" t="s">
        <v>210</v>
      </c>
      <c r="F284" s="241" t="s">
        <v>210</v>
      </c>
      <c r="G284" s="75" t="s">
        <v>499</v>
      </c>
      <c r="H284" s="76">
        <f t="shared" si="39"/>
        <v>40</v>
      </c>
      <c r="I284" s="76"/>
      <c r="J284" s="76">
        <f t="shared" si="40"/>
        <v>40</v>
      </c>
      <c r="K284" s="76"/>
      <c r="L284" s="76">
        <v>40</v>
      </c>
      <c r="M284" s="76"/>
      <c r="N284" s="266"/>
      <c r="O284" s="80"/>
    </row>
    <row r="285" ht="24" spans="1:15">
      <c r="A285" s="252" t="s">
        <v>496</v>
      </c>
      <c r="B285" s="73" t="s">
        <v>133</v>
      </c>
      <c r="C285" s="73" t="s">
        <v>145</v>
      </c>
      <c r="D285" s="73" t="s">
        <v>166</v>
      </c>
      <c r="E285" s="74" t="s">
        <v>210</v>
      </c>
      <c r="F285" s="241" t="s">
        <v>210</v>
      </c>
      <c r="G285" s="75" t="s">
        <v>500</v>
      </c>
      <c r="H285" s="76">
        <f t="shared" si="39"/>
        <v>8</v>
      </c>
      <c r="I285" s="76"/>
      <c r="J285" s="76">
        <f t="shared" si="40"/>
        <v>8</v>
      </c>
      <c r="K285" s="76">
        <v>8</v>
      </c>
      <c r="L285" s="76"/>
      <c r="M285" s="76"/>
      <c r="N285" s="266">
        <v>8</v>
      </c>
      <c r="O285" s="80"/>
    </row>
    <row r="286" ht="24" spans="1:15">
      <c r="A286" s="252" t="s">
        <v>496</v>
      </c>
      <c r="B286" s="73" t="s">
        <v>133</v>
      </c>
      <c r="C286" s="73" t="s">
        <v>145</v>
      </c>
      <c r="D286" s="73" t="s">
        <v>166</v>
      </c>
      <c r="E286" s="74" t="s">
        <v>210</v>
      </c>
      <c r="F286" s="241" t="s">
        <v>210</v>
      </c>
      <c r="G286" s="75" t="s">
        <v>501</v>
      </c>
      <c r="H286" s="76">
        <f t="shared" si="39"/>
        <v>2140</v>
      </c>
      <c r="I286" s="76"/>
      <c r="J286" s="76">
        <f t="shared" si="40"/>
        <v>2140</v>
      </c>
      <c r="K286" s="76">
        <v>2140</v>
      </c>
      <c r="L286" s="76"/>
      <c r="M286" s="76"/>
      <c r="N286" s="266">
        <v>2031.41</v>
      </c>
      <c r="O286" s="79" t="s">
        <v>286</v>
      </c>
    </row>
    <row r="287" ht="36" spans="1:15">
      <c r="A287" s="252" t="s">
        <v>502</v>
      </c>
      <c r="B287" s="73"/>
      <c r="C287" s="73"/>
      <c r="D287" s="73"/>
      <c r="E287" s="286"/>
      <c r="F287" s="246"/>
      <c r="G287" s="287"/>
      <c r="H287" s="76">
        <f t="shared" si="39"/>
        <v>169.13</v>
      </c>
      <c r="I287" s="76">
        <f t="shared" ref="I287:M287" si="45">SUM(I288:I290)</f>
        <v>0</v>
      </c>
      <c r="J287" s="76">
        <f t="shared" si="40"/>
        <v>169.13</v>
      </c>
      <c r="K287" s="76">
        <f t="shared" si="45"/>
        <v>69.13</v>
      </c>
      <c r="L287" s="76">
        <f t="shared" si="45"/>
        <v>100</v>
      </c>
      <c r="M287" s="76">
        <f t="shared" si="45"/>
        <v>0</v>
      </c>
      <c r="N287" s="266"/>
      <c r="O287" s="76"/>
    </row>
    <row r="288" ht="36" spans="1:15">
      <c r="A288" s="252" t="s">
        <v>502</v>
      </c>
      <c r="B288" s="73" t="s">
        <v>133</v>
      </c>
      <c r="C288" s="73" t="s">
        <v>145</v>
      </c>
      <c r="D288" s="73" t="s">
        <v>166</v>
      </c>
      <c r="E288" s="74" t="s">
        <v>134</v>
      </c>
      <c r="F288" s="246"/>
      <c r="G288" s="75" t="s">
        <v>416</v>
      </c>
      <c r="H288" s="76">
        <f t="shared" si="39"/>
        <v>60.43</v>
      </c>
      <c r="I288" s="76"/>
      <c r="J288" s="76">
        <f t="shared" si="40"/>
        <v>60.43</v>
      </c>
      <c r="K288" s="76">
        <f>63.53-3.1</f>
        <v>60.43</v>
      </c>
      <c r="L288" s="76"/>
      <c r="M288" s="76"/>
      <c r="N288" s="266"/>
      <c r="O288" s="76"/>
    </row>
    <row r="289" ht="36" spans="1:15">
      <c r="A289" s="252" t="s">
        <v>502</v>
      </c>
      <c r="B289" s="73" t="s">
        <v>133</v>
      </c>
      <c r="C289" s="73" t="s">
        <v>145</v>
      </c>
      <c r="D289" s="73" t="s">
        <v>166</v>
      </c>
      <c r="E289" s="74" t="s">
        <v>417</v>
      </c>
      <c r="F289" s="246"/>
      <c r="G289" s="75" t="s">
        <v>418</v>
      </c>
      <c r="H289" s="76">
        <f t="shared" si="39"/>
        <v>8.7</v>
      </c>
      <c r="I289" s="76"/>
      <c r="J289" s="76">
        <f t="shared" si="40"/>
        <v>8.7</v>
      </c>
      <c r="K289" s="76">
        <f>3.1+5.6</f>
        <v>8.7</v>
      </c>
      <c r="L289" s="76"/>
      <c r="M289" s="76"/>
      <c r="N289" s="266"/>
      <c r="O289" s="79" t="s">
        <v>419</v>
      </c>
    </row>
    <row r="290" ht="36" spans="1:15">
      <c r="A290" s="252" t="s">
        <v>502</v>
      </c>
      <c r="B290" s="73" t="s">
        <v>133</v>
      </c>
      <c r="C290" s="73" t="s">
        <v>145</v>
      </c>
      <c r="D290" s="73" t="s">
        <v>149</v>
      </c>
      <c r="E290" s="74" t="s">
        <v>210</v>
      </c>
      <c r="F290" s="241" t="s">
        <v>210</v>
      </c>
      <c r="G290" s="75" t="s">
        <v>503</v>
      </c>
      <c r="H290" s="76">
        <f t="shared" si="39"/>
        <v>100</v>
      </c>
      <c r="I290" s="76"/>
      <c r="J290" s="76">
        <f t="shared" si="40"/>
        <v>100</v>
      </c>
      <c r="K290" s="76"/>
      <c r="L290" s="76">
        <v>100</v>
      </c>
      <c r="M290" s="76"/>
      <c r="N290" s="266"/>
      <c r="O290" s="80"/>
    </row>
    <row r="291" ht="36" spans="1:15">
      <c r="A291" s="252" t="s">
        <v>504</v>
      </c>
      <c r="B291" s="73"/>
      <c r="C291" s="73"/>
      <c r="D291" s="73"/>
      <c r="E291" s="286"/>
      <c r="F291" s="246"/>
      <c r="G291" s="287"/>
      <c r="H291" s="76">
        <f t="shared" si="39"/>
        <v>100.98</v>
      </c>
      <c r="I291" s="76">
        <f t="shared" ref="I291:M291" si="46">SUM(I292:I294)</f>
        <v>0</v>
      </c>
      <c r="J291" s="76">
        <f t="shared" si="40"/>
        <v>100.98</v>
      </c>
      <c r="K291" s="76">
        <f t="shared" si="46"/>
        <v>100.18</v>
      </c>
      <c r="L291" s="76">
        <f t="shared" si="46"/>
        <v>0.8</v>
      </c>
      <c r="M291" s="76">
        <f t="shared" si="46"/>
        <v>0</v>
      </c>
      <c r="N291" s="266"/>
      <c r="O291" s="76"/>
    </row>
    <row r="292" ht="36" spans="1:15">
      <c r="A292" s="252" t="s">
        <v>504</v>
      </c>
      <c r="B292" s="73" t="s">
        <v>133</v>
      </c>
      <c r="C292" s="73" t="s">
        <v>145</v>
      </c>
      <c r="D292" s="73" t="s">
        <v>166</v>
      </c>
      <c r="E292" s="74" t="s">
        <v>134</v>
      </c>
      <c r="F292" s="246"/>
      <c r="G292" s="75" t="s">
        <v>416</v>
      </c>
      <c r="H292" s="76">
        <f t="shared" si="39"/>
        <v>79.22</v>
      </c>
      <c r="I292" s="76"/>
      <c r="J292" s="76">
        <f t="shared" si="40"/>
        <v>79.22</v>
      </c>
      <c r="K292" s="76">
        <f>83.78-4.56</f>
        <v>79.22</v>
      </c>
      <c r="L292" s="76"/>
      <c r="M292" s="76"/>
      <c r="N292" s="266"/>
      <c r="O292" s="76"/>
    </row>
    <row r="293" ht="36" spans="1:15">
      <c r="A293" s="252" t="s">
        <v>504</v>
      </c>
      <c r="B293" s="73" t="s">
        <v>133</v>
      </c>
      <c r="C293" s="73" t="s">
        <v>145</v>
      </c>
      <c r="D293" s="73" t="s">
        <v>166</v>
      </c>
      <c r="E293" s="74" t="s">
        <v>417</v>
      </c>
      <c r="F293" s="246"/>
      <c r="G293" s="75" t="s">
        <v>418</v>
      </c>
      <c r="H293" s="76">
        <f t="shared" si="39"/>
        <v>12.96</v>
      </c>
      <c r="I293" s="76"/>
      <c r="J293" s="76">
        <f t="shared" si="40"/>
        <v>12.96</v>
      </c>
      <c r="K293" s="76">
        <f>4.56+8.4</f>
        <v>12.96</v>
      </c>
      <c r="L293" s="76"/>
      <c r="M293" s="76"/>
      <c r="N293" s="266"/>
      <c r="O293" s="79" t="s">
        <v>419</v>
      </c>
    </row>
    <row r="294" ht="36" spans="1:15">
      <c r="A294" s="252" t="s">
        <v>504</v>
      </c>
      <c r="B294" s="73" t="s">
        <v>133</v>
      </c>
      <c r="C294" s="73" t="s">
        <v>145</v>
      </c>
      <c r="D294" s="73" t="s">
        <v>149</v>
      </c>
      <c r="E294" s="74" t="s">
        <v>210</v>
      </c>
      <c r="F294" s="241" t="s">
        <v>210</v>
      </c>
      <c r="G294" s="75" t="s">
        <v>473</v>
      </c>
      <c r="H294" s="76">
        <f t="shared" si="39"/>
        <v>8.8</v>
      </c>
      <c r="I294" s="76"/>
      <c r="J294" s="76">
        <f t="shared" si="40"/>
        <v>8.8</v>
      </c>
      <c r="K294" s="76">
        <v>8</v>
      </c>
      <c r="L294" s="76">
        <v>0.8</v>
      </c>
      <c r="M294" s="76"/>
      <c r="N294" s="266">
        <v>11.8</v>
      </c>
      <c r="O294" s="80"/>
    </row>
    <row r="295" ht="36" spans="1:15">
      <c r="A295" s="252" t="s">
        <v>505</v>
      </c>
      <c r="B295" s="73"/>
      <c r="C295" s="73"/>
      <c r="D295" s="73"/>
      <c r="E295" s="286"/>
      <c r="F295" s="246"/>
      <c r="G295" s="287"/>
      <c r="H295" s="76">
        <f t="shared" si="39"/>
        <v>126.76</v>
      </c>
      <c r="I295" s="76">
        <f t="shared" ref="I295:M295" si="47">SUM(I296:I298)</f>
        <v>0</v>
      </c>
      <c r="J295" s="76">
        <f t="shared" si="40"/>
        <v>126.76</v>
      </c>
      <c r="K295" s="76">
        <f t="shared" si="47"/>
        <v>126.76</v>
      </c>
      <c r="L295" s="76">
        <f t="shared" si="47"/>
        <v>0</v>
      </c>
      <c r="M295" s="76">
        <f t="shared" si="47"/>
        <v>0</v>
      </c>
      <c r="N295" s="266"/>
      <c r="O295" s="76"/>
    </row>
    <row r="296" ht="36" spans="1:15">
      <c r="A296" s="252" t="s">
        <v>505</v>
      </c>
      <c r="B296" s="73" t="s">
        <v>133</v>
      </c>
      <c r="C296" s="73" t="s">
        <v>145</v>
      </c>
      <c r="D296" s="73" t="s">
        <v>166</v>
      </c>
      <c r="E296" s="74" t="s">
        <v>134</v>
      </c>
      <c r="F296" s="246"/>
      <c r="G296" s="75" t="s">
        <v>416</v>
      </c>
      <c r="H296" s="76">
        <f t="shared" si="39"/>
        <v>104.05</v>
      </c>
      <c r="I296" s="76"/>
      <c r="J296" s="76">
        <f t="shared" si="40"/>
        <v>104.05</v>
      </c>
      <c r="K296" s="76">
        <f>108.96-4.91</f>
        <v>104.05</v>
      </c>
      <c r="L296" s="76"/>
      <c r="M296" s="76"/>
      <c r="N296" s="266"/>
      <c r="O296" s="76"/>
    </row>
    <row r="297" ht="36" spans="1:15">
      <c r="A297" s="252" t="s">
        <v>505</v>
      </c>
      <c r="B297" s="73" t="s">
        <v>133</v>
      </c>
      <c r="C297" s="73" t="s">
        <v>145</v>
      </c>
      <c r="D297" s="73" t="s">
        <v>166</v>
      </c>
      <c r="E297" s="74" t="s">
        <v>417</v>
      </c>
      <c r="F297" s="246"/>
      <c r="G297" s="75" t="s">
        <v>418</v>
      </c>
      <c r="H297" s="76">
        <f t="shared" si="39"/>
        <v>14.71</v>
      </c>
      <c r="I297" s="76"/>
      <c r="J297" s="76">
        <f t="shared" si="40"/>
        <v>14.71</v>
      </c>
      <c r="K297" s="76">
        <f>9.8+4.91</f>
        <v>14.71</v>
      </c>
      <c r="L297" s="76"/>
      <c r="M297" s="76"/>
      <c r="N297" s="266"/>
      <c r="O297" s="79" t="s">
        <v>419</v>
      </c>
    </row>
    <row r="298" ht="36" spans="1:15">
      <c r="A298" s="252" t="s">
        <v>505</v>
      </c>
      <c r="B298" s="73" t="s">
        <v>133</v>
      </c>
      <c r="C298" s="73" t="s">
        <v>145</v>
      </c>
      <c r="D298" s="73" t="s">
        <v>149</v>
      </c>
      <c r="E298" s="74" t="s">
        <v>210</v>
      </c>
      <c r="F298" s="241" t="s">
        <v>210</v>
      </c>
      <c r="G298" s="75" t="s">
        <v>506</v>
      </c>
      <c r="H298" s="76">
        <f t="shared" si="39"/>
        <v>8</v>
      </c>
      <c r="I298" s="76"/>
      <c r="J298" s="76">
        <f t="shared" si="40"/>
        <v>8</v>
      </c>
      <c r="K298" s="76">
        <v>8</v>
      </c>
      <c r="L298" s="76"/>
      <c r="M298" s="76"/>
      <c r="N298" s="266">
        <v>10</v>
      </c>
      <c r="O298" s="79" t="s">
        <v>507</v>
      </c>
    </row>
    <row r="299" ht="36" spans="1:15">
      <c r="A299" s="252" t="s">
        <v>508</v>
      </c>
      <c r="B299" s="73"/>
      <c r="C299" s="73"/>
      <c r="D299" s="73"/>
      <c r="E299" s="286"/>
      <c r="F299" s="246"/>
      <c r="G299" s="287"/>
      <c r="H299" s="76">
        <f t="shared" si="39"/>
        <v>127.19</v>
      </c>
      <c r="I299" s="76">
        <f t="shared" ref="I299:M299" si="48">SUM(I41:I42)</f>
        <v>0</v>
      </c>
      <c r="J299" s="76">
        <f t="shared" si="40"/>
        <v>127.19</v>
      </c>
      <c r="K299" s="76">
        <f>SUM(K300:K301)</f>
        <v>127.19</v>
      </c>
      <c r="L299" s="76">
        <f t="shared" si="48"/>
        <v>0</v>
      </c>
      <c r="M299" s="76">
        <f t="shared" si="48"/>
        <v>0</v>
      </c>
      <c r="N299" s="266"/>
      <c r="O299" s="76"/>
    </row>
    <row r="300" ht="36" spans="1:15">
      <c r="A300" s="252" t="s">
        <v>508</v>
      </c>
      <c r="B300" s="73" t="s">
        <v>133</v>
      </c>
      <c r="C300" s="73" t="s">
        <v>145</v>
      </c>
      <c r="D300" s="73" t="s">
        <v>166</v>
      </c>
      <c r="E300" s="74" t="s">
        <v>134</v>
      </c>
      <c r="F300" s="246"/>
      <c r="G300" s="75" t="s">
        <v>416</v>
      </c>
      <c r="H300" s="76">
        <f t="shared" si="39"/>
        <v>112.58</v>
      </c>
      <c r="I300" s="76"/>
      <c r="J300" s="76">
        <f t="shared" si="40"/>
        <v>112.58</v>
      </c>
      <c r="K300" s="76">
        <f>117.39-4.81</f>
        <v>112.58</v>
      </c>
      <c r="L300" s="76"/>
      <c r="M300" s="76"/>
      <c r="N300" s="266"/>
      <c r="O300" s="76"/>
    </row>
    <row r="301" ht="36" spans="1:15">
      <c r="A301" s="252" t="s">
        <v>508</v>
      </c>
      <c r="B301" s="73" t="s">
        <v>133</v>
      </c>
      <c r="C301" s="73" t="s">
        <v>145</v>
      </c>
      <c r="D301" s="73" t="s">
        <v>166</v>
      </c>
      <c r="E301" s="74" t="s">
        <v>417</v>
      </c>
      <c r="F301" s="246"/>
      <c r="G301" s="75" t="s">
        <v>418</v>
      </c>
      <c r="H301" s="76">
        <f t="shared" si="39"/>
        <v>14.61</v>
      </c>
      <c r="I301" s="76"/>
      <c r="J301" s="76">
        <f t="shared" si="40"/>
        <v>14.61</v>
      </c>
      <c r="K301" s="76">
        <f>4.81+9.8</f>
        <v>14.61</v>
      </c>
      <c r="L301" s="76"/>
      <c r="M301" s="76"/>
      <c r="N301" s="266"/>
      <c r="O301" s="79" t="s">
        <v>419</v>
      </c>
    </row>
    <row r="302" ht="24" spans="1:15">
      <c r="A302" s="252" t="s">
        <v>509</v>
      </c>
      <c r="B302" s="73"/>
      <c r="C302" s="73"/>
      <c r="D302" s="73"/>
      <c r="E302" s="286"/>
      <c r="F302" s="246"/>
      <c r="G302" s="287"/>
      <c r="H302" s="76">
        <f t="shared" si="39"/>
        <v>114.33</v>
      </c>
      <c r="I302" s="76">
        <f t="shared" ref="I302:M302" si="49">SUM(I303:I306)</f>
        <v>0</v>
      </c>
      <c r="J302" s="76">
        <f t="shared" si="40"/>
        <v>114.33</v>
      </c>
      <c r="K302" s="76">
        <f t="shared" si="49"/>
        <v>114.33</v>
      </c>
      <c r="L302" s="76">
        <f t="shared" si="49"/>
        <v>0</v>
      </c>
      <c r="M302" s="76">
        <f t="shared" si="49"/>
        <v>0</v>
      </c>
      <c r="N302" s="266"/>
      <c r="O302" s="76"/>
    </row>
    <row r="303" ht="24" spans="1:15">
      <c r="A303" s="252" t="s">
        <v>509</v>
      </c>
      <c r="B303" s="73" t="s">
        <v>133</v>
      </c>
      <c r="C303" s="73" t="s">
        <v>145</v>
      </c>
      <c r="D303" s="73" t="s">
        <v>166</v>
      </c>
      <c r="E303" s="74" t="s">
        <v>134</v>
      </c>
      <c r="F303" s="246"/>
      <c r="G303" s="75" t="s">
        <v>416</v>
      </c>
      <c r="H303" s="76">
        <f t="shared" si="39"/>
        <v>88.42</v>
      </c>
      <c r="I303" s="76"/>
      <c r="J303" s="76">
        <f t="shared" si="40"/>
        <v>88.42</v>
      </c>
      <c r="K303" s="76">
        <f>93.33-4.91</f>
        <v>88.42</v>
      </c>
      <c r="L303" s="76"/>
      <c r="M303" s="76"/>
      <c r="N303" s="266"/>
      <c r="O303" s="76"/>
    </row>
    <row r="304" ht="36" spans="1:15">
      <c r="A304" s="252" t="s">
        <v>509</v>
      </c>
      <c r="B304" s="73" t="s">
        <v>133</v>
      </c>
      <c r="C304" s="73" t="s">
        <v>149</v>
      </c>
      <c r="D304" s="73" t="s">
        <v>149</v>
      </c>
      <c r="E304" s="74" t="s">
        <v>417</v>
      </c>
      <c r="F304" s="246"/>
      <c r="G304" s="75" t="s">
        <v>418</v>
      </c>
      <c r="H304" s="76">
        <f t="shared" si="39"/>
        <v>14.71</v>
      </c>
      <c r="I304" s="76"/>
      <c r="J304" s="76">
        <f t="shared" si="40"/>
        <v>14.71</v>
      </c>
      <c r="K304" s="76">
        <f>4.91+9.8</f>
        <v>14.71</v>
      </c>
      <c r="L304" s="76"/>
      <c r="M304" s="76"/>
      <c r="N304" s="266"/>
      <c r="O304" s="79" t="s">
        <v>419</v>
      </c>
    </row>
    <row r="305" ht="24" spans="1:15">
      <c r="A305" s="252" t="s">
        <v>509</v>
      </c>
      <c r="B305" s="73" t="s">
        <v>133</v>
      </c>
      <c r="C305" s="73" t="s">
        <v>149</v>
      </c>
      <c r="D305" s="73" t="s">
        <v>149</v>
      </c>
      <c r="E305" s="74" t="s">
        <v>210</v>
      </c>
      <c r="F305" s="241" t="s">
        <v>210</v>
      </c>
      <c r="G305" s="75" t="s">
        <v>473</v>
      </c>
      <c r="H305" s="76">
        <f t="shared" si="39"/>
        <v>4.2</v>
      </c>
      <c r="I305" s="76"/>
      <c r="J305" s="76">
        <f t="shared" si="40"/>
        <v>4.2</v>
      </c>
      <c r="K305" s="76">
        <v>4.2</v>
      </c>
      <c r="L305" s="76"/>
      <c r="M305" s="76"/>
      <c r="N305" s="266">
        <v>4.2</v>
      </c>
      <c r="O305" s="80"/>
    </row>
    <row r="306" ht="24" spans="1:15">
      <c r="A306" s="252" t="s">
        <v>509</v>
      </c>
      <c r="B306" s="73" t="s">
        <v>133</v>
      </c>
      <c r="C306" s="73" t="s">
        <v>149</v>
      </c>
      <c r="D306" s="73" t="s">
        <v>149</v>
      </c>
      <c r="E306" s="74" t="s">
        <v>210</v>
      </c>
      <c r="F306" s="241" t="s">
        <v>210</v>
      </c>
      <c r="G306" s="75" t="s">
        <v>510</v>
      </c>
      <c r="H306" s="76">
        <f t="shared" si="39"/>
        <v>7</v>
      </c>
      <c r="I306" s="76"/>
      <c r="J306" s="76">
        <f t="shared" si="40"/>
        <v>7</v>
      </c>
      <c r="K306" s="76">
        <v>7</v>
      </c>
      <c r="L306" s="76"/>
      <c r="M306" s="76"/>
      <c r="N306" s="266">
        <v>12.6</v>
      </c>
      <c r="O306" s="80"/>
    </row>
    <row r="307" ht="36" spans="1:15">
      <c r="A307" s="252" t="s">
        <v>511</v>
      </c>
      <c r="B307" s="73"/>
      <c r="C307" s="73"/>
      <c r="D307" s="73"/>
      <c r="E307" s="286"/>
      <c r="F307" s="246"/>
      <c r="G307" s="287"/>
      <c r="H307" s="76">
        <f t="shared" si="39"/>
        <v>184.2</v>
      </c>
      <c r="I307" s="76">
        <f t="shared" ref="I307:M307" si="50">SUM(I308:I308)</f>
        <v>0</v>
      </c>
      <c r="J307" s="76">
        <f t="shared" si="40"/>
        <v>184.2</v>
      </c>
      <c r="K307" s="76">
        <f>SUM(K308:K309)</f>
        <v>184.2</v>
      </c>
      <c r="L307" s="76">
        <f t="shared" si="50"/>
        <v>0</v>
      </c>
      <c r="M307" s="76">
        <f t="shared" si="50"/>
        <v>0</v>
      </c>
      <c r="N307" s="266"/>
      <c r="O307" s="76"/>
    </row>
    <row r="308" ht="36" spans="1:15">
      <c r="A308" s="252" t="s">
        <v>511</v>
      </c>
      <c r="B308" s="73" t="s">
        <v>133</v>
      </c>
      <c r="C308" s="73" t="s">
        <v>145</v>
      </c>
      <c r="D308" s="73" t="s">
        <v>166</v>
      </c>
      <c r="E308" s="74" t="s">
        <v>134</v>
      </c>
      <c r="F308" s="246"/>
      <c r="G308" s="75" t="s">
        <v>416</v>
      </c>
      <c r="H308" s="76">
        <f t="shared" si="39"/>
        <v>163.22</v>
      </c>
      <c r="I308" s="76"/>
      <c r="J308" s="76">
        <f t="shared" si="40"/>
        <v>163.22</v>
      </c>
      <c r="K308" s="76">
        <f>170.2-6.98</f>
        <v>163.22</v>
      </c>
      <c r="L308" s="76"/>
      <c r="M308" s="76"/>
      <c r="N308" s="266"/>
      <c r="O308" s="76"/>
    </row>
    <row r="309" ht="36" spans="1:15">
      <c r="A309" s="252" t="s">
        <v>511</v>
      </c>
      <c r="B309" s="73" t="s">
        <v>133</v>
      </c>
      <c r="C309" s="73" t="s">
        <v>145</v>
      </c>
      <c r="D309" s="73" t="s">
        <v>166</v>
      </c>
      <c r="E309" s="74" t="s">
        <v>417</v>
      </c>
      <c r="F309" s="246"/>
      <c r="G309" s="75" t="s">
        <v>418</v>
      </c>
      <c r="H309" s="76">
        <f t="shared" si="39"/>
        <v>20.98</v>
      </c>
      <c r="I309" s="76"/>
      <c r="J309" s="76">
        <f t="shared" si="40"/>
        <v>20.98</v>
      </c>
      <c r="K309" s="76">
        <f>14+6.98</f>
        <v>20.98</v>
      </c>
      <c r="L309" s="76"/>
      <c r="M309" s="76"/>
      <c r="N309" s="266"/>
      <c r="O309" s="79" t="s">
        <v>419</v>
      </c>
    </row>
    <row r="310" ht="24" spans="1:15">
      <c r="A310" s="252" t="s">
        <v>512</v>
      </c>
      <c r="B310" s="73"/>
      <c r="C310" s="73"/>
      <c r="D310" s="73"/>
      <c r="E310" s="286"/>
      <c r="F310" s="246"/>
      <c r="G310" s="287"/>
      <c r="H310" s="76">
        <f t="shared" si="39"/>
        <v>424.11</v>
      </c>
      <c r="I310" s="76">
        <f t="shared" ref="I310:M310" si="51">SUM(I311:I313)</f>
        <v>22.26</v>
      </c>
      <c r="J310" s="76">
        <f t="shared" si="40"/>
        <v>401.85</v>
      </c>
      <c r="K310" s="76">
        <f t="shared" si="51"/>
        <v>399.58</v>
      </c>
      <c r="L310" s="76">
        <f t="shared" si="51"/>
        <v>2.27</v>
      </c>
      <c r="M310" s="76">
        <f t="shared" si="51"/>
        <v>0</v>
      </c>
      <c r="N310" s="266"/>
      <c r="O310" s="76"/>
    </row>
    <row r="311" ht="24" spans="1:15">
      <c r="A311" s="252" t="s">
        <v>512</v>
      </c>
      <c r="B311" s="73" t="s">
        <v>336</v>
      </c>
      <c r="C311" s="73" t="s">
        <v>166</v>
      </c>
      <c r="D311" s="73" t="s">
        <v>166</v>
      </c>
      <c r="E311" s="74" t="s">
        <v>134</v>
      </c>
      <c r="F311" s="246"/>
      <c r="G311" s="75" t="s">
        <v>416</v>
      </c>
      <c r="H311" s="76">
        <f t="shared" si="39"/>
        <v>355.93</v>
      </c>
      <c r="I311" s="76"/>
      <c r="J311" s="76">
        <f t="shared" si="40"/>
        <v>355.93</v>
      </c>
      <c r="K311" s="76">
        <f>369.38-13.45</f>
        <v>355.93</v>
      </c>
      <c r="L311" s="76"/>
      <c r="M311" s="76"/>
      <c r="N311" s="266"/>
      <c r="O311" s="76"/>
    </row>
    <row r="312" ht="36" spans="1:15">
      <c r="A312" s="252" t="s">
        <v>512</v>
      </c>
      <c r="B312" s="73" t="s">
        <v>336</v>
      </c>
      <c r="C312" s="73" t="s">
        <v>166</v>
      </c>
      <c r="D312" s="73" t="s">
        <v>166</v>
      </c>
      <c r="E312" s="74" t="s">
        <v>417</v>
      </c>
      <c r="F312" s="246"/>
      <c r="G312" s="75" t="s">
        <v>418</v>
      </c>
      <c r="H312" s="76">
        <f t="shared" si="39"/>
        <v>40.92</v>
      </c>
      <c r="I312" s="76"/>
      <c r="J312" s="76">
        <f t="shared" si="40"/>
        <v>40.92</v>
      </c>
      <c r="K312" s="76">
        <f>13.45+25.2</f>
        <v>38.65</v>
      </c>
      <c r="L312" s="76">
        <v>2.27</v>
      </c>
      <c r="M312" s="76"/>
      <c r="N312" s="266"/>
      <c r="O312" s="79" t="s">
        <v>419</v>
      </c>
    </row>
    <row r="313" ht="24" spans="1:15">
      <c r="A313" s="252" t="s">
        <v>512</v>
      </c>
      <c r="B313" s="73" t="s">
        <v>513</v>
      </c>
      <c r="C313" s="73" t="s">
        <v>179</v>
      </c>
      <c r="D313" s="73" t="s">
        <v>145</v>
      </c>
      <c r="E313" s="74" t="s">
        <v>210</v>
      </c>
      <c r="F313" s="241" t="s">
        <v>210</v>
      </c>
      <c r="G313" s="75" t="s">
        <v>514</v>
      </c>
      <c r="H313" s="76">
        <f t="shared" si="39"/>
        <v>27.26</v>
      </c>
      <c r="I313" s="76">
        <v>22.26</v>
      </c>
      <c r="J313" s="76">
        <f t="shared" si="40"/>
        <v>5</v>
      </c>
      <c r="K313" s="76">
        <v>5</v>
      </c>
      <c r="L313" s="76"/>
      <c r="M313" s="76"/>
      <c r="N313" s="266">
        <v>116.18</v>
      </c>
      <c r="O313" s="80"/>
    </row>
    <row r="314" ht="36" spans="1:15">
      <c r="A314" s="252" t="s">
        <v>515</v>
      </c>
      <c r="B314" s="73"/>
      <c r="C314" s="73"/>
      <c r="D314" s="73"/>
      <c r="E314" s="286"/>
      <c r="F314" s="246"/>
      <c r="G314" s="287"/>
      <c r="H314" s="76">
        <f t="shared" si="39"/>
        <v>443.11</v>
      </c>
      <c r="I314" s="76">
        <f t="shared" ref="I314:M314" si="52">SUM(I315:I315)</f>
        <v>0</v>
      </c>
      <c r="J314" s="76">
        <f t="shared" si="40"/>
        <v>443.11</v>
      </c>
      <c r="K314" s="76">
        <f>SUM(K315:K316)</f>
        <v>443.11</v>
      </c>
      <c r="L314" s="76">
        <f t="shared" si="52"/>
        <v>0</v>
      </c>
      <c r="M314" s="76">
        <f t="shared" si="52"/>
        <v>0</v>
      </c>
      <c r="N314" s="266"/>
      <c r="O314" s="76"/>
    </row>
    <row r="315" ht="36" spans="1:15">
      <c r="A315" s="252" t="s">
        <v>515</v>
      </c>
      <c r="B315" s="73" t="s">
        <v>336</v>
      </c>
      <c r="C315" s="73" t="s">
        <v>166</v>
      </c>
      <c r="D315" s="73" t="s">
        <v>166</v>
      </c>
      <c r="E315" s="74" t="s">
        <v>134</v>
      </c>
      <c r="F315" s="246"/>
      <c r="G315" s="75" t="s">
        <v>416</v>
      </c>
      <c r="H315" s="76">
        <f t="shared" si="39"/>
        <v>402.49</v>
      </c>
      <c r="I315" s="76"/>
      <c r="J315" s="76">
        <f t="shared" si="40"/>
        <v>402.49</v>
      </c>
      <c r="K315" s="76">
        <f>416.51-14.02</f>
        <v>402.49</v>
      </c>
      <c r="L315" s="76"/>
      <c r="M315" s="76"/>
      <c r="N315" s="266"/>
      <c r="O315" s="76"/>
    </row>
    <row r="316" ht="36" spans="1:15">
      <c r="A316" s="252" t="s">
        <v>515</v>
      </c>
      <c r="B316" s="73" t="s">
        <v>336</v>
      </c>
      <c r="C316" s="73" t="s">
        <v>166</v>
      </c>
      <c r="D316" s="73" t="s">
        <v>166</v>
      </c>
      <c r="E316" s="74" t="s">
        <v>417</v>
      </c>
      <c r="F316" s="246"/>
      <c r="G316" s="75" t="s">
        <v>418</v>
      </c>
      <c r="H316" s="76">
        <f t="shared" si="39"/>
        <v>40.62</v>
      </c>
      <c r="I316" s="76"/>
      <c r="J316" s="76">
        <f t="shared" si="40"/>
        <v>40.62</v>
      </c>
      <c r="K316" s="76">
        <f>14.02+26.6</f>
        <v>40.62</v>
      </c>
      <c r="L316" s="76"/>
      <c r="M316" s="76"/>
      <c r="N316" s="266"/>
      <c r="O316" s="79" t="s">
        <v>419</v>
      </c>
    </row>
    <row r="317" ht="24" spans="1:15">
      <c r="A317" s="252" t="s">
        <v>516</v>
      </c>
      <c r="B317" s="73"/>
      <c r="C317" s="73"/>
      <c r="D317" s="73"/>
      <c r="E317" s="286"/>
      <c r="F317" s="246"/>
      <c r="G317" s="287"/>
      <c r="H317" s="76">
        <f t="shared" si="39"/>
        <v>3219.82</v>
      </c>
      <c r="I317" s="76">
        <f t="shared" ref="I317:M317" si="53">SUM(I318:I320)</f>
        <v>0</v>
      </c>
      <c r="J317" s="76">
        <f t="shared" si="40"/>
        <v>3219.82</v>
      </c>
      <c r="K317" s="76">
        <f t="shared" si="53"/>
        <v>2499.82</v>
      </c>
      <c r="L317" s="76">
        <f t="shared" si="53"/>
        <v>720</v>
      </c>
      <c r="M317" s="76">
        <f t="shared" si="53"/>
        <v>0</v>
      </c>
      <c r="N317" s="266"/>
      <c r="O317" s="76"/>
    </row>
    <row r="318" ht="24" spans="1:15">
      <c r="A318" s="252" t="s">
        <v>516</v>
      </c>
      <c r="B318" s="73" t="s">
        <v>336</v>
      </c>
      <c r="C318" s="73" t="s">
        <v>142</v>
      </c>
      <c r="D318" s="73" t="s">
        <v>166</v>
      </c>
      <c r="E318" s="74" t="s">
        <v>134</v>
      </c>
      <c r="F318" s="246"/>
      <c r="G318" s="75" t="s">
        <v>416</v>
      </c>
      <c r="H318" s="76">
        <f t="shared" si="39"/>
        <v>2431.73</v>
      </c>
      <c r="I318" s="76"/>
      <c r="J318" s="76">
        <f t="shared" si="40"/>
        <v>2431.73</v>
      </c>
      <c r="K318" s="76">
        <f>2433.32-1.59</f>
        <v>2431.73</v>
      </c>
      <c r="L318" s="76"/>
      <c r="M318" s="76"/>
      <c r="N318" s="266"/>
      <c r="O318" s="76"/>
    </row>
    <row r="319" ht="36" spans="1:15">
      <c r="A319" s="252" t="s">
        <v>516</v>
      </c>
      <c r="B319" s="73" t="s">
        <v>336</v>
      </c>
      <c r="C319" s="73" t="s">
        <v>142</v>
      </c>
      <c r="D319" s="73" t="s">
        <v>166</v>
      </c>
      <c r="E319" s="74" t="s">
        <v>417</v>
      </c>
      <c r="F319" s="246"/>
      <c r="G319" s="75" t="s">
        <v>418</v>
      </c>
      <c r="H319" s="76">
        <f t="shared" si="39"/>
        <v>68.09</v>
      </c>
      <c r="I319" s="76"/>
      <c r="J319" s="76">
        <f t="shared" si="40"/>
        <v>68.09</v>
      </c>
      <c r="K319" s="76">
        <f>66.5+1.59</f>
        <v>68.09</v>
      </c>
      <c r="L319" s="76"/>
      <c r="M319" s="76"/>
      <c r="N319" s="266"/>
      <c r="O319" s="79" t="s">
        <v>419</v>
      </c>
    </row>
    <row r="320" ht="26.4" spans="1:15">
      <c r="A320" s="252" t="s">
        <v>516</v>
      </c>
      <c r="B320" s="73" t="s">
        <v>336</v>
      </c>
      <c r="C320" s="73" t="s">
        <v>142</v>
      </c>
      <c r="D320" s="73" t="s">
        <v>166</v>
      </c>
      <c r="E320" s="74" t="s">
        <v>210</v>
      </c>
      <c r="F320" s="241" t="s">
        <v>210</v>
      </c>
      <c r="G320" s="75" t="s">
        <v>517</v>
      </c>
      <c r="H320" s="76">
        <f t="shared" si="39"/>
        <v>720</v>
      </c>
      <c r="I320" s="76"/>
      <c r="J320" s="76">
        <f t="shared" si="40"/>
        <v>720</v>
      </c>
      <c r="K320" s="76"/>
      <c r="L320" s="76">
        <v>720</v>
      </c>
      <c r="M320" s="76"/>
      <c r="N320" s="266"/>
      <c r="O320" s="77" t="s">
        <v>518</v>
      </c>
    </row>
    <row r="321" ht="36" spans="1:15">
      <c r="A321" s="252" t="s">
        <v>519</v>
      </c>
      <c r="B321" s="73"/>
      <c r="C321" s="73"/>
      <c r="D321" s="73"/>
      <c r="E321" s="286"/>
      <c r="F321" s="246"/>
      <c r="G321" s="287"/>
      <c r="H321" s="76">
        <f t="shared" si="39"/>
        <v>2782.66</v>
      </c>
      <c r="I321" s="76">
        <f t="shared" ref="I321:M321" si="54">SUM(I322:I324)</f>
        <v>0</v>
      </c>
      <c r="J321" s="76">
        <f t="shared" si="40"/>
        <v>2782.66</v>
      </c>
      <c r="K321" s="76">
        <f t="shared" si="54"/>
        <v>2782.66</v>
      </c>
      <c r="L321" s="76">
        <f t="shared" si="54"/>
        <v>0</v>
      </c>
      <c r="M321" s="76">
        <f t="shared" si="54"/>
        <v>0</v>
      </c>
      <c r="N321" s="266"/>
      <c r="O321" s="76"/>
    </row>
    <row r="322" ht="36" spans="1:15">
      <c r="A322" s="252" t="s">
        <v>519</v>
      </c>
      <c r="B322" s="73" t="s">
        <v>336</v>
      </c>
      <c r="C322" s="73" t="s">
        <v>166</v>
      </c>
      <c r="D322" s="73" t="s">
        <v>158</v>
      </c>
      <c r="E322" s="74" t="s">
        <v>134</v>
      </c>
      <c r="F322" s="246"/>
      <c r="G322" s="75" t="s">
        <v>416</v>
      </c>
      <c r="H322" s="76">
        <f t="shared" si="39"/>
        <v>1347.03</v>
      </c>
      <c r="I322" s="76"/>
      <c r="J322" s="76">
        <f t="shared" si="40"/>
        <v>1347.03</v>
      </c>
      <c r="K322" s="76">
        <f>1417.31-70.28</f>
        <v>1347.03</v>
      </c>
      <c r="L322" s="76"/>
      <c r="M322" s="76"/>
      <c r="N322" s="266"/>
      <c r="O322" s="76"/>
    </row>
    <row r="323" ht="36" spans="1:15">
      <c r="A323" s="252" t="s">
        <v>519</v>
      </c>
      <c r="B323" s="73" t="s">
        <v>336</v>
      </c>
      <c r="C323" s="73" t="s">
        <v>166</v>
      </c>
      <c r="D323" s="73" t="s">
        <v>158</v>
      </c>
      <c r="E323" s="74" t="s">
        <v>417</v>
      </c>
      <c r="F323" s="246"/>
      <c r="G323" s="75" t="s">
        <v>418</v>
      </c>
      <c r="H323" s="76">
        <f t="shared" si="39"/>
        <v>215.88</v>
      </c>
      <c r="I323" s="76"/>
      <c r="J323" s="76">
        <f t="shared" si="40"/>
        <v>215.88</v>
      </c>
      <c r="K323" s="76">
        <f>70.28+145.6</f>
        <v>215.88</v>
      </c>
      <c r="L323" s="76"/>
      <c r="M323" s="76"/>
      <c r="N323" s="266"/>
      <c r="O323" s="79" t="s">
        <v>419</v>
      </c>
    </row>
    <row r="324" ht="36" spans="1:15">
      <c r="A324" s="252" t="s">
        <v>519</v>
      </c>
      <c r="B324" s="73" t="s">
        <v>336</v>
      </c>
      <c r="C324" s="73" t="s">
        <v>166</v>
      </c>
      <c r="D324" s="73" t="s">
        <v>158</v>
      </c>
      <c r="E324" s="74" t="s">
        <v>210</v>
      </c>
      <c r="F324" s="241" t="s">
        <v>210</v>
      </c>
      <c r="G324" s="75" t="s">
        <v>520</v>
      </c>
      <c r="H324" s="76">
        <f t="shared" si="39"/>
        <v>1219.75</v>
      </c>
      <c r="I324" s="76"/>
      <c r="J324" s="76">
        <f t="shared" si="40"/>
        <v>1219.75</v>
      </c>
      <c r="K324" s="76">
        <v>1219.75</v>
      </c>
      <c r="L324" s="76"/>
      <c r="M324" s="76"/>
      <c r="N324" s="266">
        <v>1664.6</v>
      </c>
      <c r="O324" s="80" t="s">
        <v>521</v>
      </c>
    </row>
    <row r="325" ht="24" spans="1:15">
      <c r="A325" s="252" t="s">
        <v>522</v>
      </c>
      <c r="B325" s="73"/>
      <c r="C325" s="73"/>
      <c r="D325" s="73"/>
      <c r="E325" s="286"/>
      <c r="F325" s="246"/>
      <c r="G325" s="287"/>
      <c r="H325" s="76">
        <f t="shared" si="39"/>
        <v>783.94</v>
      </c>
      <c r="I325" s="76">
        <f t="shared" ref="I325:M325" si="55">SUM(I326:I329)</f>
        <v>0</v>
      </c>
      <c r="J325" s="76">
        <f t="shared" si="40"/>
        <v>783.94</v>
      </c>
      <c r="K325" s="76">
        <f t="shared" si="55"/>
        <v>783.94</v>
      </c>
      <c r="L325" s="76">
        <f t="shared" si="55"/>
        <v>0</v>
      </c>
      <c r="M325" s="76">
        <f t="shared" si="55"/>
        <v>0</v>
      </c>
      <c r="N325" s="266"/>
      <c r="O325" s="76"/>
    </row>
    <row r="326" ht="24" spans="1:15">
      <c r="A326" s="252" t="s">
        <v>522</v>
      </c>
      <c r="B326" s="73" t="s">
        <v>336</v>
      </c>
      <c r="C326" s="73" t="s">
        <v>166</v>
      </c>
      <c r="D326" s="73" t="s">
        <v>166</v>
      </c>
      <c r="E326" s="74" t="s">
        <v>134</v>
      </c>
      <c r="F326" s="246"/>
      <c r="G326" s="75" t="s">
        <v>416</v>
      </c>
      <c r="H326" s="76">
        <f t="shared" si="39"/>
        <v>653.35</v>
      </c>
      <c r="I326" s="76"/>
      <c r="J326" s="76">
        <f t="shared" si="40"/>
        <v>653.35</v>
      </c>
      <c r="K326" s="76">
        <f>654.94-1.59</f>
        <v>653.35</v>
      </c>
      <c r="L326" s="76"/>
      <c r="M326" s="76"/>
      <c r="N326" s="266"/>
      <c r="O326" s="76"/>
    </row>
    <row r="327" ht="36" spans="1:15">
      <c r="A327" s="252" t="s">
        <v>522</v>
      </c>
      <c r="B327" s="73" t="s">
        <v>336</v>
      </c>
      <c r="C327" s="73" t="s">
        <v>166</v>
      </c>
      <c r="D327" s="73" t="s">
        <v>166</v>
      </c>
      <c r="E327" s="74" t="s">
        <v>417</v>
      </c>
      <c r="F327" s="246"/>
      <c r="G327" s="75" t="s">
        <v>418</v>
      </c>
      <c r="H327" s="76">
        <f t="shared" si="39"/>
        <v>21.19</v>
      </c>
      <c r="I327" s="76"/>
      <c r="J327" s="76">
        <f t="shared" si="40"/>
        <v>21.19</v>
      </c>
      <c r="K327" s="76">
        <f>1.59+19.6</f>
        <v>21.19</v>
      </c>
      <c r="L327" s="76"/>
      <c r="M327" s="76"/>
      <c r="N327" s="266"/>
      <c r="O327" s="79" t="s">
        <v>419</v>
      </c>
    </row>
    <row r="328" ht="24" spans="1:15">
      <c r="A328" s="252" t="s">
        <v>522</v>
      </c>
      <c r="B328" s="73" t="s">
        <v>336</v>
      </c>
      <c r="C328" s="73" t="s">
        <v>166</v>
      </c>
      <c r="D328" s="73" t="s">
        <v>149</v>
      </c>
      <c r="E328" s="74" t="s">
        <v>210</v>
      </c>
      <c r="F328" s="241" t="s">
        <v>210</v>
      </c>
      <c r="G328" s="75" t="s">
        <v>523</v>
      </c>
      <c r="H328" s="76">
        <f t="shared" ref="H328:H391" si="56">I328+K328+L328+M328</f>
        <v>98</v>
      </c>
      <c r="I328" s="76"/>
      <c r="J328" s="76">
        <f t="shared" ref="J328:J391" si="57">K328+L328+M328</f>
        <v>98</v>
      </c>
      <c r="K328" s="76">
        <v>98</v>
      </c>
      <c r="L328" s="76"/>
      <c r="M328" s="76"/>
      <c r="N328" s="266">
        <v>187</v>
      </c>
      <c r="O328" s="77" t="s">
        <v>524</v>
      </c>
    </row>
    <row r="329" ht="24" spans="1:15">
      <c r="A329" s="252" t="s">
        <v>522</v>
      </c>
      <c r="B329" s="73" t="s">
        <v>336</v>
      </c>
      <c r="C329" s="73" t="s">
        <v>166</v>
      </c>
      <c r="D329" s="73" t="s">
        <v>166</v>
      </c>
      <c r="E329" s="74" t="s">
        <v>210</v>
      </c>
      <c r="F329" s="241" t="s">
        <v>210</v>
      </c>
      <c r="G329" s="83" t="s">
        <v>525</v>
      </c>
      <c r="H329" s="76">
        <f t="shared" si="56"/>
        <v>11.4</v>
      </c>
      <c r="I329" s="76"/>
      <c r="J329" s="76">
        <f t="shared" si="57"/>
        <v>11.4</v>
      </c>
      <c r="K329" s="76">
        <v>11.4</v>
      </c>
      <c r="L329" s="76"/>
      <c r="M329" s="76"/>
      <c r="N329" s="266">
        <v>11.4</v>
      </c>
      <c r="O329" s="278"/>
    </row>
    <row r="330" ht="24" spans="1:15">
      <c r="A330" s="252" t="s">
        <v>526</v>
      </c>
      <c r="B330" s="73"/>
      <c r="C330" s="73"/>
      <c r="D330" s="73"/>
      <c r="E330" s="286"/>
      <c r="F330" s="246"/>
      <c r="G330" s="287"/>
      <c r="H330" s="76">
        <f t="shared" si="56"/>
        <v>221.85</v>
      </c>
      <c r="I330" s="76">
        <f t="shared" ref="I330:M330" si="58">SUM(I331:I333)</f>
        <v>0</v>
      </c>
      <c r="J330" s="76">
        <f t="shared" si="57"/>
        <v>221.85</v>
      </c>
      <c r="K330" s="76">
        <f t="shared" si="58"/>
        <v>221.85</v>
      </c>
      <c r="L330" s="76">
        <f t="shared" si="58"/>
        <v>0</v>
      </c>
      <c r="M330" s="76">
        <f t="shared" si="58"/>
        <v>0</v>
      </c>
      <c r="N330" s="266"/>
      <c r="O330" s="76"/>
    </row>
    <row r="331" ht="24" spans="1:15">
      <c r="A331" s="252" t="s">
        <v>526</v>
      </c>
      <c r="B331" s="73" t="s">
        <v>133</v>
      </c>
      <c r="C331" s="73" t="s">
        <v>182</v>
      </c>
      <c r="D331" s="73" t="s">
        <v>166</v>
      </c>
      <c r="E331" s="74" t="s">
        <v>134</v>
      </c>
      <c r="F331" s="246"/>
      <c r="G331" s="75" t="s">
        <v>416</v>
      </c>
      <c r="H331" s="76">
        <f t="shared" si="56"/>
        <v>182.95</v>
      </c>
      <c r="I331" s="76"/>
      <c r="J331" s="76">
        <f t="shared" si="57"/>
        <v>182.95</v>
      </c>
      <c r="K331" s="76">
        <f>191.45-8.5</f>
        <v>182.95</v>
      </c>
      <c r="L331" s="76"/>
      <c r="M331" s="76"/>
      <c r="N331" s="266"/>
      <c r="O331" s="76"/>
    </row>
    <row r="332" ht="36" spans="1:15">
      <c r="A332" s="252" t="s">
        <v>526</v>
      </c>
      <c r="B332" s="73" t="s">
        <v>133</v>
      </c>
      <c r="C332" s="73" t="s">
        <v>182</v>
      </c>
      <c r="D332" s="73" t="s">
        <v>166</v>
      </c>
      <c r="E332" s="74" t="s">
        <v>417</v>
      </c>
      <c r="F332" s="246"/>
      <c r="G332" s="75" t="s">
        <v>418</v>
      </c>
      <c r="H332" s="76">
        <f t="shared" si="56"/>
        <v>23.9</v>
      </c>
      <c r="I332" s="76"/>
      <c r="J332" s="76">
        <f t="shared" si="57"/>
        <v>23.9</v>
      </c>
      <c r="K332" s="76">
        <f>8.5+15.4</f>
        <v>23.9</v>
      </c>
      <c r="L332" s="76"/>
      <c r="M332" s="76"/>
      <c r="N332" s="266"/>
      <c r="O332" s="79" t="s">
        <v>419</v>
      </c>
    </row>
    <row r="333" ht="25.2" spans="1:15">
      <c r="A333" s="252" t="s">
        <v>526</v>
      </c>
      <c r="B333" s="73" t="s">
        <v>133</v>
      </c>
      <c r="C333" s="73" t="s">
        <v>182</v>
      </c>
      <c r="D333" s="73" t="s">
        <v>149</v>
      </c>
      <c r="E333" s="74" t="s">
        <v>210</v>
      </c>
      <c r="F333" s="241" t="s">
        <v>210</v>
      </c>
      <c r="G333" s="75" t="s">
        <v>527</v>
      </c>
      <c r="H333" s="76">
        <f t="shared" si="56"/>
        <v>15</v>
      </c>
      <c r="I333" s="76"/>
      <c r="J333" s="76">
        <f t="shared" si="57"/>
        <v>15</v>
      </c>
      <c r="K333" s="76">
        <v>15</v>
      </c>
      <c r="L333" s="76"/>
      <c r="M333" s="76"/>
      <c r="N333" s="266">
        <v>28.7</v>
      </c>
      <c r="O333" s="79" t="s">
        <v>528</v>
      </c>
    </row>
    <row r="334" ht="24" spans="1:15">
      <c r="A334" s="252" t="s">
        <v>529</v>
      </c>
      <c r="B334" s="73"/>
      <c r="C334" s="73"/>
      <c r="D334" s="73"/>
      <c r="E334" s="286"/>
      <c r="F334" s="246"/>
      <c r="G334" s="287"/>
      <c r="H334" s="76">
        <f t="shared" si="56"/>
        <v>101.43</v>
      </c>
      <c r="I334" s="76">
        <f t="shared" ref="I334:M334" si="59">SUM(I335:I335)</f>
        <v>0</v>
      </c>
      <c r="J334" s="76">
        <f t="shared" si="57"/>
        <v>101.43</v>
      </c>
      <c r="K334" s="76">
        <f>SUM(K335:K336)</f>
        <v>101.43</v>
      </c>
      <c r="L334" s="76">
        <f t="shared" si="59"/>
        <v>0</v>
      </c>
      <c r="M334" s="76">
        <f t="shared" si="59"/>
        <v>0</v>
      </c>
      <c r="N334" s="266"/>
      <c r="O334" s="76"/>
    </row>
    <row r="335" ht="24" spans="1:15">
      <c r="A335" s="252" t="s">
        <v>529</v>
      </c>
      <c r="B335" s="73" t="s">
        <v>133</v>
      </c>
      <c r="C335" s="73" t="s">
        <v>145</v>
      </c>
      <c r="D335" s="73" t="s">
        <v>166</v>
      </c>
      <c r="E335" s="74" t="s">
        <v>134</v>
      </c>
      <c r="F335" s="246"/>
      <c r="G335" s="75" t="s">
        <v>416</v>
      </c>
      <c r="H335" s="76">
        <f t="shared" si="56"/>
        <v>92.27</v>
      </c>
      <c r="I335" s="76"/>
      <c r="J335" s="76">
        <f t="shared" si="57"/>
        <v>92.27</v>
      </c>
      <c r="K335" s="76">
        <f>95.83-3.56</f>
        <v>92.27</v>
      </c>
      <c r="L335" s="76"/>
      <c r="M335" s="76"/>
      <c r="N335" s="266"/>
      <c r="O335" s="76"/>
    </row>
    <row r="336" ht="36" spans="1:15">
      <c r="A336" s="252" t="s">
        <v>529</v>
      </c>
      <c r="B336" s="73" t="s">
        <v>133</v>
      </c>
      <c r="C336" s="73" t="s">
        <v>149</v>
      </c>
      <c r="D336" s="73" t="s">
        <v>149</v>
      </c>
      <c r="E336" s="74" t="s">
        <v>417</v>
      </c>
      <c r="F336" s="246"/>
      <c r="G336" s="75" t="s">
        <v>418</v>
      </c>
      <c r="H336" s="76">
        <f t="shared" si="56"/>
        <v>9.16</v>
      </c>
      <c r="I336" s="76"/>
      <c r="J336" s="76">
        <f t="shared" si="57"/>
        <v>9.16</v>
      </c>
      <c r="K336" s="76">
        <f>3.56+5.6</f>
        <v>9.16</v>
      </c>
      <c r="L336" s="76"/>
      <c r="M336" s="76"/>
      <c r="N336" s="266"/>
      <c r="O336" s="79" t="s">
        <v>419</v>
      </c>
    </row>
    <row r="337" ht="24" spans="1:15">
      <c r="A337" s="252" t="s">
        <v>530</v>
      </c>
      <c r="B337" s="73"/>
      <c r="C337" s="73"/>
      <c r="D337" s="73"/>
      <c r="E337" s="286"/>
      <c r="F337" s="246"/>
      <c r="G337" s="287"/>
      <c r="H337" s="76">
        <f t="shared" si="56"/>
        <v>105.85</v>
      </c>
      <c r="I337" s="76">
        <f t="shared" ref="I337:M337" si="60">SUM(I338:I340)</f>
        <v>0</v>
      </c>
      <c r="J337" s="76">
        <f t="shared" si="57"/>
        <v>105.85</v>
      </c>
      <c r="K337" s="76">
        <f t="shared" si="60"/>
        <v>105.85</v>
      </c>
      <c r="L337" s="76">
        <f t="shared" si="60"/>
        <v>0</v>
      </c>
      <c r="M337" s="76">
        <f t="shared" si="60"/>
        <v>0</v>
      </c>
      <c r="N337" s="266"/>
      <c r="O337" s="76"/>
    </row>
    <row r="338" ht="24" spans="1:15">
      <c r="A338" s="252" t="s">
        <v>530</v>
      </c>
      <c r="B338" s="73" t="s">
        <v>133</v>
      </c>
      <c r="C338" s="73" t="s">
        <v>268</v>
      </c>
      <c r="D338" s="73" t="s">
        <v>166</v>
      </c>
      <c r="E338" s="74" t="s">
        <v>134</v>
      </c>
      <c r="F338" s="246"/>
      <c r="G338" s="75" t="s">
        <v>416</v>
      </c>
      <c r="H338" s="76">
        <f t="shared" si="56"/>
        <v>91.04</v>
      </c>
      <c r="I338" s="76"/>
      <c r="J338" s="76">
        <f t="shared" si="57"/>
        <v>91.04</v>
      </c>
      <c r="K338" s="76">
        <f>95.85-4.81</f>
        <v>91.04</v>
      </c>
      <c r="L338" s="76"/>
      <c r="M338" s="76"/>
      <c r="N338" s="266"/>
      <c r="O338" s="76"/>
    </row>
    <row r="339" ht="36" spans="1:15">
      <c r="A339" s="252" t="s">
        <v>530</v>
      </c>
      <c r="B339" s="73" t="s">
        <v>133</v>
      </c>
      <c r="C339" s="73" t="s">
        <v>268</v>
      </c>
      <c r="D339" s="73" t="s">
        <v>166</v>
      </c>
      <c r="E339" s="74" t="s">
        <v>417</v>
      </c>
      <c r="F339" s="246"/>
      <c r="G339" s="75" t="s">
        <v>418</v>
      </c>
      <c r="H339" s="76">
        <f t="shared" si="56"/>
        <v>11.81</v>
      </c>
      <c r="I339" s="76"/>
      <c r="J339" s="76">
        <f t="shared" si="57"/>
        <v>11.81</v>
      </c>
      <c r="K339" s="76">
        <f>7+4.81</f>
        <v>11.81</v>
      </c>
      <c r="L339" s="76"/>
      <c r="M339" s="76"/>
      <c r="N339" s="266"/>
      <c r="O339" s="79" t="s">
        <v>419</v>
      </c>
    </row>
    <row r="340" ht="24" spans="1:15">
      <c r="A340" s="252" t="s">
        <v>530</v>
      </c>
      <c r="B340" s="73" t="s">
        <v>133</v>
      </c>
      <c r="C340" s="73" t="s">
        <v>268</v>
      </c>
      <c r="D340" s="73" t="s">
        <v>149</v>
      </c>
      <c r="E340" s="74" t="s">
        <v>210</v>
      </c>
      <c r="F340" s="241" t="s">
        <v>210</v>
      </c>
      <c r="G340" s="75" t="s">
        <v>531</v>
      </c>
      <c r="H340" s="76">
        <f t="shared" si="56"/>
        <v>3</v>
      </c>
      <c r="I340" s="76"/>
      <c r="J340" s="76">
        <f t="shared" si="57"/>
        <v>3</v>
      </c>
      <c r="K340" s="76">
        <v>3</v>
      </c>
      <c r="L340" s="76"/>
      <c r="M340" s="76"/>
      <c r="N340" s="266">
        <v>8</v>
      </c>
      <c r="O340" s="80"/>
    </row>
    <row r="341" ht="24" spans="1:15">
      <c r="A341" s="252" t="s">
        <v>532</v>
      </c>
      <c r="B341" s="73"/>
      <c r="C341" s="73"/>
      <c r="D341" s="73"/>
      <c r="E341" s="286"/>
      <c r="F341" s="246"/>
      <c r="G341" s="287"/>
      <c r="H341" s="76">
        <f t="shared" si="56"/>
        <v>63.81</v>
      </c>
      <c r="I341" s="76">
        <f t="shared" ref="I341:M341" si="61">SUM(I342:I344)</f>
        <v>0</v>
      </c>
      <c r="J341" s="76">
        <f t="shared" si="57"/>
        <v>63.81</v>
      </c>
      <c r="K341" s="76">
        <f t="shared" si="61"/>
        <v>63.81</v>
      </c>
      <c r="L341" s="76">
        <f t="shared" si="61"/>
        <v>0</v>
      </c>
      <c r="M341" s="76">
        <f t="shared" si="61"/>
        <v>0</v>
      </c>
      <c r="N341" s="266"/>
      <c r="O341" s="76"/>
    </row>
    <row r="342" ht="24" spans="1:15">
      <c r="A342" s="252" t="s">
        <v>532</v>
      </c>
      <c r="B342" s="73" t="s">
        <v>262</v>
      </c>
      <c r="C342" s="73" t="s">
        <v>260</v>
      </c>
      <c r="D342" s="73" t="s">
        <v>166</v>
      </c>
      <c r="E342" s="74" t="s">
        <v>134</v>
      </c>
      <c r="F342" s="246"/>
      <c r="G342" s="75" t="s">
        <v>416</v>
      </c>
      <c r="H342" s="76">
        <f t="shared" si="56"/>
        <v>54.83</v>
      </c>
      <c r="I342" s="76"/>
      <c r="J342" s="76">
        <f t="shared" si="57"/>
        <v>54.83</v>
      </c>
      <c r="K342" s="76">
        <f>57.61-2.78</f>
        <v>54.83</v>
      </c>
      <c r="L342" s="76"/>
      <c r="M342" s="76"/>
      <c r="N342" s="266"/>
      <c r="O342" s="76"/>
    </row>
    <row r="343" ht="36" spans="1:15">
      <c r="A343" s="252" t="s">
        <v>532</v>
      </c>
      <c r="B343" s="73" t="s">
        <v>262</v>
      </c>
      <c r="C343" s="73" t="s">
        <v>260</v>
      </c>
      <c r="D343" s="73" t="s">
        <v>166</v>
      </c>
      <c r="E343" s="74" t="s">
        <v>417</v>
      </c>
      <c r="F343" s="246"/>
      <c r="G343" s="75" t="s">
        <v>418</v>
      </c>
      <c r="H343" s="76">
        <f t="shared" si="56"/>
        <v>6.98</v>
      </c>
      <c r="I343" s="76"/>
      <c r="J343" s="76">
        <f t="shared" si="57"/>
        <v>6.98</v>
      </c>
      <c r="K343" s="76">
        <f>4.2+2.78</f>
        <v>6.98</v>
      </c>
      <c r="L343" s="76"/>
      <c r="M343" s="76"/>
      <c r="N343" s="266"/>
      <c r="O343" s="79" t="s">
        <v>419</v>
      </c>
    </row>
    <row r="344" ht="24" spans="1:15">
      <c r="A344" s="252" t="s">
        <v>532</v>
      </c>
      <c r="B344" s="73" t="s">
        <v>262</v>
      </c>
      <c r="C344" s="73" t="s">
        <v>260</v>
      </c>
      <c r="D344" s="73" t="s">
        <v>149</v>
      </c>
      <c r="E344" s="74" t="s">
        <v>210</v>
      </c>
      <c r="F344" s="241" t="s">
        <v>210</v>
      </c>
      <c r="G344" s="75" t="s">
        <v>533</v>
      </c>
      <c r="H344" s="76">
        <f t="shared" si="56"/>
        <v>2</v>
      </c>
      <c r="I344" s="76"/>
      <c r="J344" s="76">
        <f t="shared" si="57"/>
        <v>2</v>
      </c>
      <c r="K344" s="76">
        <v>2</v>
      </c>
      <c r="L344" s="76"/>
      <c r="M344" s="76"/>
      <c r="N344" s="266">
        <v>6</v>
      </c>
      <c r="O344" s="80"/>
    </row>
    <row r="345" ht="24" spans="1:15">
      <c r="A345" s="252" t="s">
        <v>534</v>
      </c>
      <c r="B345" s="73"/>
      <c r="C345" s="73"/>
      <c r="D345" s="73"/>
      <c r="E345" s="286"/>
      <c r="F345" s="246"/>
      <c r="G345" s="287"/>
      <c r="H345" s="76">
        <f t="shared" si="56"/>
        <v>86.09</v>
      </c>
      <c r="I345" s="76">
        <f t="shared" ref="I345:M345" si="62">SUM(I346:I347)</f>
        <v>0</v>
      </c>
      <c r="J345" s="76">
        <f t="shared" si="57"/>
        <v>86.09</v>
      </c>
      <c r="K345" s="76">
        <f t="shared" si="62"/>
        <v>86.09</v>
      </c>
      <c r="L345" s="76">
        <f t="shared" si="62"/>
        <v>0</v>
      </c>
      <c r="M345" s="76">
        <f t="shared" si="62"/>
        <v>0</v>
      </c>
      <c r="N345" s="266"/>
      <c r="O345" s="76"/>
    </row>
    <row r="346" ht="24" spans="1:15">
      <c r="A346" s="252" t="s">
        <v>534</v>
      </c>
      <c r="B346" s="73" t="s">
        <v>262</v>
      </c>
      <c r="C346" s="73" t="s">
        <v>157</v>
      </c>
      <c r="D346" s="73" t="s">
        <v>166</v>
      </c>
      <c r="E346" s="74" t="s">
        <v>134</v>
      </c>
      <c r="F346" s="246"/>
      <c r="G346" s="75" t="s">
        <v>416</v>
      </c>
      <c r="H346" s="76">
        <f t="shared" si="56"/>
        <v>77.39</v>
      </c>
      <c r="I346" s="76"/>
      <c r="J346" s="76">
        <f t="shared" si="57"/>
        <v>77.39</v>
      </c>
      <c r="K346" s="76">
        <f>80.49-3.1</f>
        <v>77.39</v>
      </c>
      <c r="L346" s="76"/>
      <c r="M346" s="76"/>
      <c r="N346" s="266"/>
      <c r="O346" s="76"/>
    </row>
    <row r="347" ht="36" spans="1:15">
      <c r="A347" s="252" t="s">
        <v>534</v>
      </c>
      <c r="B347" s="73" t="s">
        <v>262</v>
      </c>
      <c r="C347" s="73" t="s">
        <v>157</v>
      </c>
      <c r="D347" s="73" t="s">
        <v>166</v>
      </c>
      <c r="E347" s="74" t="s">
        <v>417</v>
      </c>
      <c r="F347" s="246"/>
      <c r="G347" s="75" t="s">
        <v>418</v>
      </c>
      <c r="H347" s="76">
        <f t="shared" si="56"/>
        <v>8.7</v>
      </c>
      <c r="I347" s="76"/>
      <c r="J347" s="76">
        <f t="shared" si="57"/>
        <v>8.7</v>
      </c>
      <c r="K347" s="76">
        <f>3.1+5.6</f>
        <v>8.7</v>
      </c>
      <c r="L347" s="76"/>
      <c r="M347" s="76"/>
      <c r="N347" s="266"/>
      <c r="O347" s="79" t="s">
        <v>419</v>
      </c>
    </row>
    <row r="348" ht="24" spans="1:15">
      <c r="A348" s="252" t="s">
        <v>535</v>
      </c>
      <c r="B348" s="73"/>
      <c r="C348" s="73"/>
      <c r="D348" s="73"/>
      <c r="E348" s="286"/>
      <c r="F348" s="246"/>
      <c r="G348" s="287"/>
      <c r="H348" s="76">
        <f t="shared" si="56"/>
        <v>68.57</v>
      </c>
      <c r="I348" s="76">
        <f t="shared" ref="I348:M348" si="63">SUM(I349:I350)</f>
        <v>0</v>
      </c>
      <c r="J348" s="76">
        <f t="shared" si="57"/>
        <v>68.57</v>
      </c>
      <c r="K348" s="76">
        <f t="shared" si="63"/>
        <v>68.57</v>
      </c>
      <c r="L348" s="76">
        <f t="shared" si="63"/>
        <v>0</v>
      </c>
      <c r="M348" s="76">
        <f t="shared" si="63"/>
        <v>0</v>
      </c>
      <c r="N348" s="266"/>
      <c r="O348" s="76"/>
    </row>
    <row r="349" ht="24" spans="1:15">
      <c r="A349" s="252" t="s">
        <v>535</v>
      </c>
      <c r="B349" s="73" t="s">
        <v>194</v>
      </c>
      <c r="C349" s="73" t="s">
        <v>166</v>
      </c>
      <c r="D349" s="73" t="s">
        <v>166</v>
      </c>
      <c r="E349" s="74" t="s">
        <v>134</v>
      </c>
      <c r="F349" s="246"/>
      <c r="G349" s="75" t="s">
        <v>416</v>
      </c>
      <c r="H349" s="76">
        <f t="shared" si="56"/>
        <v>61.59</v>
      </c>
      <c r="I349" s="76"/>
      <c r="J349" s="76">
        <f t="shared" si="57"/>
        <v>61.59</v>
      </c>
      <c r="K349" s="76">
        <f>64.37-2.78</f>
        <v>61.59</v>
      </c>
      <c r="L349" s="76"/>
      <c r="M349" s="76"/>
      <c r="N349" s="266"/>
      <c r="O349" s="76"/>
    </row>
    <row r="350" ht="36" spans="1:15">
      <c r="A350" s="252" t="s">
        <v>535</v>
      </c>
      <c r="B350" s="73" t="s">
        <v>194</v>
      </c>
      <c r="C350" s="73" t="s">
        <v>166</v>
      </c>
      <c r="D350" s="73" t="s">
        <v>166</v>
      </c>
      <c r="E350" s="74" t="s">
        <v>417</v>
      </c>
      <c r="F350" s="246"/>
      <c r="G350" s="75" t="s">
        <v>418</v>
      </c>
      <c r="H350" s="76">
        <f t="shared" si="56"/>
        <v>6.98</v>
      </c>
      <c r="I350" s="76"/>
      <c r="J350" s="76">
        <f t="shared" si="57"/>
        <v>6.98</v>
      </c>
      <c r="K350" s="76">
        <f>2.78+4.2</f>
        <v>6.98</v>
      </c>
      <c r="L350" s="76"/>
      <c r="M350" s="76"/>
      <c r="N350" s="266"/>
      <c r="O350" s="79" t="s">
        <v>419</v>
      </c>
    </row>
    <row r="351" ht="24" spans="1:15">
      <c r="A351" s="252" t="s">
        <v>536</v>
      </c>
      <c r="B351" s="73"/>
      <c r="C351" s="73"/>
      <c r="D351" s="73"/>
      <c r="E351" s="286"/>
      <c r="F351" s="246"/>
      <c r="G351" s="287"/>
      <c r="H351" s="76">
        <f t="shared" si="56"/>
        <v>51.88</v>
      </c>
      <c r="I351" s="76">
        <f t="shared" ref="I351:M351" si="64">SUM(I352:I354)</f>
        <v>0</v>
      </c>
      <c r="J351" s="76">
        <f t="shared" si="57"/>
        <v>51.88</v>
      </c>
      <c r="K351" s="76">
        <f t="shared" si="64"/>
        <v>51.88</v>
      </c>
      <c r="L351" s="76">
        <f t="shared" si="64"/>
        <v>0</v>
      </c>
      <c r="M351" s="76">
        <f t="shared" si="64"/>
        <v>0</v>
      </c>
      <c r="N351" s="266"/>
      <c r="O351" s="76"/>
    </row>
    <row r="352" ht="24" spans="1:15">
      <c r="A352" s="252" t="s">
        <v>536</v>
      </c>
      <c r="B352" s="73" t="s">
        <v>248</v>
      </c>
      <c r="C352" s="73" t="s">
        <v>166</v>
      </c>
      <c r="D352" s="73" t="s">
        <v>166</v>
      </c>
      <c r="E352" s="74" t="s">
        <v>134</v>
      </c>
      <c r="F352" s="246"/>
      <c r="G352" s="75" t="s">
        <v>416</v>
      </c>
      <c r="H352" s="76">
        <f t="shared" si="56"/>
        <v>38.58</v>
      </c>
      <c r="I352" s="76"/>
      <c r="J352" s="76">
        <f t="shared" si="57"/>
        <v>38.58</v>
      </c>
      <c r="K352" s="76">
        <f>40.68-2.1</f>
        <v>38.58</v>
      </c>
      <c r="L352" s="76"/>
      <c r="M352" s="76"/>
      <c r="N352" s="266"/>
      <c r="O352" s="76"/>
    </row>
    <row r="353" ht="36" spans="1:15">
      <c r="A353" s="252" t="s">
        <v>536</v>
      </c>
      <c r="B353" s="73" t="s">
        <v>248</v>
      </c>
      <c r="C353" s="73" t="s">
        <v>166</v>
      </c>
      <c r="D353" s="73" t="s">
        <v>166</v>
      </c>
      <c r="E353" s="74" t="s">
        <v>417</v>
      </c>
      <c r="F353" s="246"/>
      <c r="G353" s="75" t="s">
        <v>418</v>
      </c>
      <c r="H353" s="76">
        <f t="shared" si="56"/>
        <v>6.3</v>
      </c>
      <c r="I353" s="76"/>
      <c r="J353" s="76">
        <f t="shared" si="57"/>
        <v>6.3</v>
      </c>
      <c r="K353" s="76">
        <f>2.1+4.2</f>
        <v>6.3</v>
      </c>
      <c r="L353" s="76"/>
      <c r="M353" s="76"/>
      <c r="N353" s="266"/>
      <c r="O353" s="79" t="s">
        <v>419</v>
      </c>
    </row>
    <row r="354" ht="24" spans="1:15">
      <c r="A354" s="252" t="s">
        <v>536</v>
      </c>
      <c r="B354" s="73" t="s">
        <v>248</v>
      </c>
      <c r="C354" s="73" t="s">
        <v>166</v>
      </c>
      <c r="D354" s="73" t="s">
        <v>263</v>
      </c>
      <c r="E354" s="74" t="s">
        <v>210</v>
      </c>
      <c r="F354" s="241" t="s">
        <v>210</v>
      </c>
      <c r="G354" s="75" t="s">
        <v>537</v>
      </c>
      <c r="H354" s="76">
        <f t="shared" si="56"/>
        <v>7</v>
      </c>
      <c r="I354" s="76"/>
      <c r="J354" s="76">
        <f t="shared" si="57"/>
        <v>7</v>
      </c>
      <c r="K354" s="76">
        <v>7</v>
      </c>
      <c r="L354" s="76"/>
      <c r="M354" s="76"/>
      <c r="N354" s="266">
        <v>10</v>
      </c>
      <c r="O354" s="80"/>
    </row>
    <row r="355" ht="24" spans="1:15">
      <c r="A355" s="252" t="s">
        <v>538</v>
      </c>
      <c r="B355" s="73"/>
      <c r="C355" s="73"/>
      <c r="D355" s="73"/>
      <c r="E355" s="286"/>
      <c r="F355" s="246"/>
      <c r="G355" s="287"/>
      <c r="H355" s="76">
        <f t="shared" si="56"/>
        <v>47.13</v>
      </c>
      <c r="I355" s="76">
        <f t="shared" ref="I355:M355" si="65">SUM(I356:I358)</f>
        <v>0</v>
      </c>
      <c r="J355" s="76">
        <f t="shared" si="57"/>
        <v>47.13</v>
      </c>
      <c r="K355" s="76">
        <f t="shared" si="65"/>
        <v>47.13</v>
      </c>
      <c r="L355" s="76">
        <f t="shared" si="65"/>
        <v>0</v>
      </c>
      <c r="M355" s="76">
        <f t="shared" si="65"/>
        <v>0</v>
      </c>
      <c r="N355" s="266"/>
      <c r="O355" s="76"/>
    </row>
    <row r="356" ht="24" spans="1:15">
      <c r="A356" s="252" t="s">
        <v>538</v>
      </c>
      <c r="B356" s="73" t="s">
        <v>133</v>
      </c>
      <c r="C356" s="243">
        <v>34</v>
      </c>
      <c r="D356" s="73" t="s">
        <v>166</v>
      </c>
      <c r="E356" s="74" t="s">
        <v>134</v>
      </c>
      <c r="F356" s="246"/>
      <c r="G356" s="75" t="s">
        <v>416</v>
      </c>
      <c r="H356" s="76">
        <f t="shared" si="56"/>
        <v>37.85</v>
      </c>
      <c r="I356" s="76"/>
      <c r="J356" s="76">
        <f t="shared" si="57"/>
        <v>37.85</v>
      </c>
      <c r="K356" s="76">
        <f>39.93-2.08</f>
        <v>37.85</v>
      </c>
      <c r="L356" s="76"/>
      <c r="M356" s="76"/>
      <c r="N356" s="266"/>
      <c r="O356" s="76"/>
    </row>
    <row r="357" ht="36" spans="1:15">
      <c r="A357" s="252" t="s">
        <v>538</v>
      </c>
      <c r="B357" s="73" t="s">
        <v>133</v>
      </c>
      <c r="C357" s="243">
        <v>34</v>
      </c>
      <c r="D357" s="73" t="s">
        <v>166</v>
      </c>
      <c r="E357" s="74" t="s">
        <v>417</v>
      </c>
      <c r="F357" s="246"/>
      <c r="G357" s="75" t="s">
        <v>418</v>
      </c>
      <c r="H357" s="76">
        <f t="shared" si="56"/>
        <v>6.28</v>
      </c>
      <c r="I357" s="76"/>
      <c r="J357" s="76">
        <f t="shared" si="57"/>
        <v>6.28</v>
      </c>
      <c r="K357" s="76">
        <f>4.2+2.08</f>
        <v>6.28</v>
      </c>
      <c r="L357" s="76"/>
      <c r="M357" s="76"/>
      <c r="N357" s="266"/>
      <c r="O357" s="79" t="s">
        <v>419</v>
      </c>
    </row>
    <row r="358" ht="24" spans="1:15">
      <c r="A358" s="252" t="s">
        <v>538</v>
      </c>
      <c r="B358" s="73" t="s">
        <v>133</v>
      </c>
      <c r="C358" s="73" t="s">
        <v>182</v>
      </c>
      <c r="D358" s="243">
        <v>99</v>
      </c>
      <c r="E358" s="74" t="s">
        <v>210</v>
      </c>
      <c r="F358" s="241" t="s">
        <v>210</v>
      </c>
      <c r="G358" s="75" t="s">
        <v>539</v>
      </c>
      <c r="H358" s="76">
        <f t="shared" si="56"/>
        <v>3</v>
      </c>
      <c r="I358" s="76"/>
      <c r="J358" s="76">
        <f t="shared" si="57"/>
        <v>3</v>
      </c>
      <c r="K358" s="76">
        <v>3</v>
      </c>
      <c r="L358" s="76"/>
      <c r="M358" s="76"/>
      <c r="N358" s="266">
        <v>4</v>
      </c>
      <c r="O358" s="80"/>
    </row>
    <row r="359" ht="24" spans="1:15">
      <c r="A359" s="252" t="s">
        <v>540</v>
      </c>
      <c r="B359" s="73"/>
      <c r="C359" s="73"/>
      <c r="D359" s="73"/>
      <c r="E359" s="286"/>
      <c r="F359" s="246"/>
      <c r="G359" s="287"/>
      <c r="H359" s="76">
        <f t="shared" si="56"/>
        <v>1034.55</v>
      </c>
      <c r="I359" s="76">
        <f t="shared" ref="I359:M359" si="66">SUM(I360:I360)</f>
        <v>0</v>
      </c>
      <c r="J359" s="76">
        <f t="shared" si="57"/>
        <v>1034.55</v>
      </c>
      <c r="K359" s="76">
        <f>SUM(K360:K361)</f>
        <v>1034.55</v>
      </c>
      <c r="L359" s="76">
        <f t="shared" si="66"/>
        <v>0</v>
      </c>
      <c r="M359" s="76">
        <f t="shared" si="66"/>
        <v>0</v>
      </c>
      <c r="N359" s="266"/>
      <c r="O359" s="76"/>
    </row>
    <row r="360" ht="24" spans="1:15">
      <c r="A360" s="252" t="s">
        <v>540</v>
      </c>
      <c r="B360" s="73" t="s">
        <v>380</v>
      </c>
      <c r="C360" s="73" t="s">
        <v>166</v>
      </c>
      <c r="D360" s="73" t="s">
        <v>166</v>
      </c>
      <c r="E360" s="74" t="s">
        <v>134</v>
      </c>
      <c r="F360" s="246"/>
      <c r="G360" s="75" t="s">
        <v>416</v>
      </c>
      <c r="H360" s="76">
        <f t="shared" si="56"/>
        <v>943.94</v>
      </c>
      <c r="I360" s="76"/>
      <c r="J360" s="76">
        <f t="shared" si="57"/>
        <v>943.94</v>
      </c>
      <c r="K360" s="76">
        <f>974.35-30.41</f>
        <v>943.94</v>
      </c>
      <c r="L360" s="76"/>
      <c r="M360" s="76"/>
      <c r="N360" s="266"/>
      <c r="O360" s="76"/>
    </row>
    <row r="361" ht="36" spans="1:15">
      <c r="A361" s="252" t="s">
        <v>540</v>
      </c>
      <c r="B361" s="73" t="s">
        <v>380</v>
      </c>
      <c r="C361" s="73" t="s">
        <v>166</v>
      </c>
      <c r="D361" s="73" t="s">
        <v>166</v>
      </c>
      <c r="E361" s="74" t="s">
        <v>417</v>
      </c>
      <c r="F361" s="246"/>
      <c r="G361" s="75" t="s">
        <v>418</v>
      </c>
      <c r="H361" s="76">
        <f t="shared" si="56"/>
        <v>90.61</v>
      </c>
      <c r="I361" s="76"/>
      <c r="J361" s="76">
        <f t="shared" si="57"/>
        <v>90.61</v>
      </c>
      <c r="K361" s="76">
        <f>60.2+30.41</f>
        <v>90.61</v>
      </c>
      <c r="L361" s="76"/>
      <c r="M361" s="76"/>
      <c r="N361" s="266"/>
      <c r="O361" s="79" t="s">
        <v>419</v>
      </c>
    </row>
    <row r="362" ht="24" spans="1:15">
      <c r="A362" s="252" t="s">
        <v>541</v>
      </c>
      <c r="B362" s="73"/>
      <c r="C362" s="73"/>
      <c r="D362" s="73"/>
      <c r="E362" s="286"/>
      <c r="F362" s="246"/>
      <c r="G362" s="287"/>
      <c r="H362" s="76">
        <f t="shared" si="56"/>
        <v>272.85</v>
      </c>
      <c r="I362" s="76">
        <f t="shared" ref="I362:M362" si="67">SUM(I363:I363)</f>
        <v>0</v>
      </c>
      <c r="J362" s="76">
        <f t="shared" si="57"/>
        <v>272.85</v>
      </c>
      <c r="K362" s="76">
        <f>SUM(K363:K364)</f>
        <v>272.85</v>
      </c>
      <c r="L362" s="76">
        <f t="shared" si="67"/>
        <v>0</v>
      </c>
      <c r="M362" s="76">
        <f t="shared" si="67"/>
        <v>0</v>
      </c>
      <c r="N362" s="266"/>
      <c r="O362" s="76"/>
    </row>
    <row r="363" ht="24" spans="1:15">
      <c r="A363" s="252" t="s">
        <v>541</v>
      </c>
      <c r="B363" s="73" t="s">
        <v>380</v>
      </c>
      <c r="C363" s="73" t="s">
        <v>145</v>
      </c>
      <c r="D363" s="73" t="s">
        <v>166</v>
      </c>
      <c r="E363" s="74" t="s">
        <v>134</v>
      </c>
      <c r="F363" s="246"/>
      <c r="G363" s="75" t="s">
        <v>416</v>
      </c>
      <c r="H363" s="76">
        <f t="shared" si="56"/>
        <v>239.28</v>
      </c>
      <c r="I363" s="76"/>
      <c r="J363" s="76">
        <f t="shared" si="57"/>
        <v>239.28</v>
      </c>
      <c r="K363" s="76">
        <f>250.45-11.17</f>
        <v>239.28</v>
      </c>
      <c r="L363" s="76"/>
      <c r="M363" s="76"/>
      <c r="N363" s="266"/>
      <c r="O363" s="76"/>
    </row>
    <row r="364" ht="36" spans="1:15">
      <c r="A364" s="252" t="s">
        <v>541</v>
      </c>
      <c r="B364" s="73" t="s">
        <v>380</v>
      </c>
      <c r="C364" s="73" t="s">
        <v>145</v>
      </c>
      <c r="D364" s="73" t="s">
        <v>166</v>
      </c>
      <c r="E364" s="74" t="s">
        <v>417</v>
      </c>
      <c r="F364" s="246"/>
      <c r="G364" s="75" t="s">
        <v>418</v>
      </c>
      <c r="H364" s="76">
        <f t="shared" si="56"/>
        <v>33.57</v>
      </c>
      <c r="I364" s="76"/>
      <c r="J364" s="76">
        <f t="shared" si="57"/>
        <v>33.57</v>
      </c>
      <c r="K364" s="76">
        <f>22.4+11.17</f>
        <v>33.57</v>
      </c>
      <c r="L364" s="76"/>
      <c r="M364" s="76"/>
      <c r="N364" s="266"/>
      <c r="O364" s="79" t="s">
        <v>419</v>
      </c>
    </row>
    <row r="365" ht="24" spans="1:15">
      <c r="A365" s="252" t="s">
        <v>542</v>
      </c>
      <c r="B365" s="73"/>
      <c r="C365" s="73"/>
      <c r="D365" s="73"/>
      <c r="E365" s="286"/>
      <c r="F365" s="246"/>
      <c r="G365" s="287"/>
      <c r="H365" s="76">
        <f t="shared" si="56"/>
        <v>372.65</v>
      </c>
      <c r="I365" s="76">
        <f t="shared" ref="I365:M365" si="68">SUM(I366:I368)</f>
        <v>0</v>
      </c>
      <c r="J365" s="76">
        <f t="shared" si="57"/>
        <v>372.65</v>
      </c>
      <c r="K365" s="76">
        <f t="shared" si="68"/>
        <v>355.15</v>
      </c>
      <c r="L365" s="76">
        <f t="shared" si="68"/>
        <v>17.5</v>
      </c>
      <c r="M365" s="76">
        <f t="shared" si="68"/>
        <v>0</v>
      </c>
      <c r="N365" s="266"/>
      <c r="O365" s="76"/>
    </row>
    <row r="366" ht="24" spans="1:15">
      <c r="A366" s="252" t="s">
        <v>542</v>
      </c>
      <c r="B366" s="73" t="s">
        <v>262</v>
      </c>
      <c r="C366" s="73" t="s">
        <v>225</v>
      </c>
      <c r="D366" s="73" t="s">
        <v>166</v>
      </c>
      <c r="E366" s="74" t="s">
        <v>134</v>
      </c>
      <c r="F366" s="246"/>
      <c r="G366" s="75" t="s">
        <v>416</v>
      </c>
      <c r="H366" s="76">
        <f t="shared" si="56"/>
        <v>318.85</v>
      </c>
      <c r="I366" s="76"/>
      <c r="J366" s="76">
        <f t="shared" si="57"/>
        <v>318.85</v>
      </c>
      <c r="K366" s="76">
        <f>328.95-10.1</f>
        <v>318.85</v>
      </c>
      <c r="L366" s="76"/>
      <c r="M366" s="76"/>
      <c r="N366" s="266"/>
      <c r="O366" s="76"/>
    </row>
    <row r="367" ht="36" spans="1:15">
      <c r="A367" s="252" t="s">
        <v>542</v>
      </c>
      <c r="B367" s="73" t="s">
        <v>262</v>
      </c>
      <c r="C367" s="73" t="s">
        <v>225</v>
      </c>
      <c r="D367" s="73" t="s">
        <v>166</v>
      </c>
      <c r="E367" s="74" t="s">
        <v>417</v>
      </c>
      <c r="F367" s="246"/>
      <c r="G367" s="75" t="s">
        <v>418</v>
      </c>
      <c r="H367" s="76">
        <f t="shared" si="56"/>
        <v>28.3</v>
      </c>
      <c r="I367" s="76"/>
      <c r="J367" s="76">
        <f t="shared" si="57"/>
        <v>28.3</v>
      </c>
      <c r="K367" s="76">
        <f>18.2+10.1</f>
        <v>28.3</v>
      </c>
      <c r="L367" s="76"/>
      <c r="M367" s="76"/>
      <c r="N367" s="266"/>
      <c r="O367" s="79" t="s">
        <v>419</v>
      </c>
    </row>
    <row r="368" ht="24" spans="1:15">
      <c r="A368" s="252" t="s">
        <v>542</v>
      </c>
      <c r="B368" s="73" t="s">
        <v>262</v>
      </c>
      <c r="C368" s="73" t="s">
        <v>225</v>
      </c>
      <c r="D368" s="73" t="s">
        <v>149</v>
      </c>
      <c r="E368" s="74" t="s">
        <v>210</v>
      </c>
      <c r="F368" s="241" t="s">
        <v>210</v>
      </c>
      <c r="G368" s="75" t="s">
        <v>543</v>
      </c>
      <c r="H368" s="76">
        <f t="shared" si="56"/>
        <v>25.5</v>
      </c>
      <c r="I368" s="76"/>
      <c r="J368" s="76">
        <f t="shared" si="57"/>
        <v>25.5</v>
      </c>
      <c r="K368" s="279">
        <v>8</v>
      </c>
      <c r="L368" s="76">
        <v>17.5</v>
      </c>
      <c r="M368" s="76"/>
      <c r="N368" s="266">
        <v>18</v>
      </c>
      <c r="O368" s="80"/>
    </row>
    <row r="369" ht="24" spans="1:15">
      <c r="A369" s="252" t="s">
        <v>544</v>
      </c>
      <c r="B369" s="73"/>
      <c r="C369" s="73"/>
      <c r="D369" s="73"/>
      <c r="E369" s="286"/>
      <c r="F369" s="246"/>
      <c r="G369" s="287"/>
      <c r="H369" s="76">
        <f t="shared" si="56"/>
        <v>1906.71</v>
      </c>
      <c r="I369" s="76">
        <f t="shared" ref="I369:M369" si="69">SUM(I100:I100)</f>
        <v>0</v>
      </c>
      <c r="J369" s="76">
        <f t="shared" si="57"/>
        <v>1906.71</v>
      </c>
      <c r="K369" s="76">
        <f>SUM(K370:K371)</f>
        <v>1906.71</v>
      </c>
      <c r="L369" s="76">
        <f t="shared" si="69"/>
        <v>0</v>
      </c>
      <c r="M369" s="76">
        <f t="shared" si="69"/>
        <v>0</v>
      </c>
      <c r="N369" s="266"/>
      <c r="O369" s="76"/>
    </row>
    <row r="370" ht="24" spans="1:15">
      <c r="A370" s="252" t="s">
        <v>544</v>
      </c>
      <c r="B370" s="73" t="s">
        <v>305</v>
      </c>
      <c r="C370" s="73" t="s">
        <v>166</v>
      </c>
      <c r="D370" s="73" t="s">
        <v>166</v>
      </c>
      <c r="E370" s="74" t="s">
        <v>134</v>
      </c>
      <c r="F370" s="246"/>
      <c r="G370" s="75" t="s">
        <v>416</v>
      </c>
      <c r="H370" s="76">
        <f t="shared" si="56"/>
        <v>1843.89</v>
      </c>
      <c r="I370" s="76"/>
      <c r="J370" s="76">
        <f t="shared" si="57"/>
        <v>1843.89</v>
      </c>
      <c r="K370" s="76">
        <f>1867.51-23.62</f>
        <v>1843.89</v>
      </c>
      <c r="L370" s="76"/>
      <c r="M370" s="76"/>
      <c r="N370" s="266"/>
      <c r="O370" s="76"/>
    </row>
    <row r="371" ht="36" spans="1:15">
      <c r="A371" s="252" t="s">
        <v>544</v>
      </c>
      <c r="B371" s="73" t="s">
        <v>305</v>
      </c>
      <c r="C371" s="73" t="s">
        <v>166</v>
      </c>
      <c r="D371" s="73" t="s">
        <v>166</v>
      </c>
      <c r="E371" s="74" t="s">
        <v>417</v>
      </c>
      <c r="F371" s="246"/>
      <c r="G371" s="75" t="s">
        <v>418</v>
      </c>
      <c r="H371" s="76">
        <f t="shared" si="56"/>
        <v>62.82</v>
      </c>
      <c r="I371" s="76"/>
      <c r="J371" s="76">
        <f t="shared" si="57"/>
        <v>62.82</v>
      </c>
      <c r="K371" s="76">
        <f>23.62+39.2</f>
        <v>62.82</v>
      </c>
      <c r="L371" s="76"/>
      <c r="M371" s="76"/>
      <c r="N371" s="266"/>
      <c r="O371" s="79" t="s">
        <v>419</v>
      </c>
    </row>
    <row r="372" ht="24" spans="1:15">
      <c r="A372" s="252" t="s">
        <v>545</v>
      </c>
      <c r="B372" s="73"/>
      <c r="C372" s="73"/>
      <c r="D372" s="73"/>
      <c r="E372" s="286"/>
      <c r="F372" s="246"/>
      <c r="G372" s="287"/>
      <c r="H372" s="76">
        <f t="shared" si="56"/>
        <v>2197.01</v>
      </c>
      <c r="I372" s="76">
        <f t="shared" ref="I372:M372" si="70">SUM(I373:I375)</f>
        <v>0</v>
      </c>
      <c r="J372" s="76">
        <f t="shared" si="57"/>
        <v>2197.01</v>
      </c>
      <c r="K372" s="76">
        <f t="shared" si="70"/>
        <v>597.01</v>
      </c>
      <c r="L372" s="76">
        <f t="shared" si="70"/>
        <v>1600</v>
      </c>
      <c r="M372" s="76">
        <f t="shared" si="70"/>
        <v>0</v>
      </c>
      <c r="N372" s="266"/>
      <c r="O372" s="76"/>
    </row>
    <row r="373" ht="24" spans="1:15">
      <c r="A373" s="252" t="s">
        <v>545</v>
      </c>
      <c r="B373" s="73" t="s">
        <v>305</v>
      </c>
      <c r="C373" s="73" t="s">
        <v>158</v>
      </c>
      <c r="D373" s="73" t="s">
        <v>166</v>
      </c>
      <c r="E373" s="74" t="s">
        <v>134</v>
      </c>
      <c r="F373" s="226"/>
      <c r="G373" s="75" t="s">
        <v>416</v>
      </c>
      <c r="H373" s="76">
        <f t="shared" si="56"/>
        <v>550.67</v>
      </c>
      <c r="I373" s="76"/>
      <c r="J373" s="76">
        <f t="shared" si="57"/>
        <v>550.67</v>
      </c>
      <c r="K373" s="285">
        <f>552.21-1.54</f>
        <v>550.67</v>
      </c>
      <c r="L373" s="76"/>
      <c r="M373" s="76"/>
      <c r="N373" s="268"/>
      <c r="O373" s="80"/>
    </row>
    <row r="374" ht="36" spans="1:15">
      <c r="A374" s="252" t="s">
        <v>545</v>
      </c>
      <c r="B374" s="73" t="s">
        <v>305</v>
      </c>
      <c r="C374" s="73" t="s">
        <v>158</v>
      </c>
      <c r="D374" s="73" t="s">
        <v>166</v>
      </c>
      <c r="E374" s="74" t="s">
        <v>417</v>
      </c>
      <c r="F374" s="226"/>
      <c r="G374" s="75" t="s">
        <v>418</v>
      </c>
      <c r="H374" s="76">
        <f t="shared" si="56"/>
        <v>46.34</v>
      </c>
      <c r="I374" s="76"/>
      <c r="J374" s="76">
        <f t="shared" si="57"/>
        <v>46.34</v>
      </c>
      <c r="K374" s="285">
        <f>44.8+1.54</f>
        <v>46.34</v>
      </c>
      <c r="L374" s="76"/>
      <c r="M374" s="76"/>
      <c r="N374" s="268"/>
      <c r="O374" s="79" t="s">
        <v>419</v>
      </c>
    </row>
    <row r="375" ht="24" spans="1:15">
      <c r="A375" s="252" t="s">
        <v>545</v>
      </c>
      <c r="B375" s="73" t="s">
        <v>305</v>
      </c>
      <c r="C375" s="73" t="s">
        <v>158</v>
      </c>
      <c r="D375" s="73" t="s">
        <v>166</v>
      </c>
      <c r="E375" s="74" t="s">
        <v>210</v>
      </c>
      <c r="F375" s="241" t="s">
        <v>210</v>
      </c>
      <c r="G375" s="75" t="s">
        <v>546</v>
      </c>
      <c r="H375" s="76">
        <f t="shared" si="56"/>
        <v>1600</v>
      </c>
      <c r="I375" s="76"/>
      <c r="J375" s="76">
        <f t="shared" si="57"/>
        <v>1600</v>
      </c>
      <c r="K375" s="285"/>
      <c r="L375" s="76">
        <v>1600</v>
      </c>
      <c r="M375" s="76"/>
      <c r="N375" s="266"/>
      <c r="O375" s="80"/>
    </row>
    <row r="376" ht="24" spans="1:15">
      <c r="A376" s="252" t="s">
        <v>547</v>
      </c>
      <c r="B376" s="73"/>
      <c r="C376" s="73"/>
      <c r="D376" s="73"/>
      <c r="E376" s="286"/>
      <c r="F376" s="246"/>
      <c r="G376" s="287"/>
      <c r="H376" s="76">
        <f t="shared" si="56"/>
        <v>299.77</v>
      </c>
      <c r="I376" s="76">
        <f t="shared" ref="I376:M376" si="71">SUM(I377:I380)</f>
        <v>0</v>
      </c>
      <c r="J376" s="76">
        <f t="shared" si="57"/>
        <v>299.77</v>
      </c>
      <c r="K376" s="76">
        <f t="shared" si="71"/>
        <v>299.77</v>
      </c>
      <c r="L376" s="76">
        <f t="shared" si="71"/>
        <v>0</v>
      </c>
      <c r="M376" s="76">
        <f t="shared" si="71"/>
        <v>0</v>
      </c>
      <c r="N376" s="266"/>
      <c r="O376" s="76"/>
    </row>
    <row r="377" ht="24" spans="1:15">
      <c r="A377" s="252" t="s">
        <v>547</v>
      </c>
      <c r="B377" s="73" t="s">
        <v>305</v>
      </c>
      <c r="C377" s="73" t="s">
        <v>158</v>
      </c>
      <c r="D377" s="73" t="s">
        <v>145</v>
      </c>
      <c r="E377" s="74" t="s">
        <v>134</v>
      </c>
      <c r="F377" s="246"/>
      <c r="G377" s="75" t="s">
        <v>416</v>
      </c>
      <c r="H377" s="76">
        <f t="shared" si="56"/>
        <v>251.66</v>
      </c>
      <c r="I377" s="76"/>
      <c r="J377" s="76">
        <f t="shared" si="57"/>
        <v>251.66</v>
      </c>
      <c r="K377" s="76">
        <f>253.17-1.51</f>
        <v>251.66</v>
      </c>
      <c r="L377" s="76"/>
      <c r="M377" s="76"/>
      <c r="N377" s="266"/>
      <c r="O377" s="76"/>
    </row>
    <row r="378" ht="36" spans="1:15">
      <c r="A378" s="252" t="s">
        <v>547</v>
      </c>
      <c r="B378" s="73" t="s">
        <v>305</v>
      </c>
      <c r="C378" s="73" t="s">
        <v>158</v>
      </c>
      <c r="D378" s="73" t="s">
        <v>145</v>
      </c>
      <c r="E378" s="74" t="s">
        <v>417</v>
      </c>
      <c r="F378" s="246"/>
      <c r="G378" s="75" t="s">
        <v>418</v>
      </c>
      <c r="H378" s="76">
        <f t="shared" si="56"/>
        <v>21.11</v>
      </c>
      <c r="I378" s="76"/>
      <c r="J378" s="76">
        <f t="shared" si="57"/>
        <v>21.11</v>
      </c>
      <c r="K378" s="76">
        <f>1.51+19.6</f>
        <v>21.11</v>
      </c>
      <c r="L378" s="76"/>
      <c r="M378" s="76"/>
      <c r="N378" s="266"/>
      <c r="O378" s="79" t="s">
        <v>419</v>
      </c>
    </row>
    <row r="379" ht="24" spans="1:15">
      <c r="A379" s="252" t="s">
        <v>547</v>
      </c>
      <c r="B379" s="73" t="s">
        <v>305</v>
      </c>
      <c r="C379" s="73" t="s">
        <v>158</v>
      </c>
      <c r="D379" s="73" t="s">
        <v>145</v>
      </c>
      <c r="E379" s="74" t="s">
        <v>210</v>
      </c>
      <c r="F379" s="241" t="s">
        <v>210</v>
      </c>
      <c r="G379" s="75" t="s">
        <v>548</v>
      </c>
      <c r="H379" s="76">
        <f t="shared" si="56"/>
        <v>5</v>
      </c>
      <c r="I379" s="76"/>
      <c r="J379" s="76">
        <f t="shared" si="57"/>
        <v>5</v>
      </c>
      <c r="K379" s="279">
        <v>5</v>
      </c>
      <c r="L379" s="76"/>
      <c r="M379" s="76"/>
      <c r="N379" s="266">
        <v>7</v>
      </c>
      <c r="O379" s="80"/>
    </row>
    <row r="380" ht="24" spans="1:15">
      <c r="A380" s="252" t="s">
        <v>547</v>
      </c>
      <c r="B380" s="73" t="s">
        <v>305</v>
      </c>
      <c r="C380" s="73" t="s">
        <v>158</v>
      </c>
      <c r="D380" s="73" t="s">
        <v>145</v>
      </c>
      <c r="E380" s="74" t="s">
        <v>210</v>
      </c>
      <c r="F380" s="241" t="s">
        <v>210</v>
      </c>
      <c r="G380" s="75" t="s">
        <v>473</v>
      </c>
      <c r="H380" s="76">
        <f t="shared" si="56"/>
        <v>22</v>
      </c>
      <c r="I380" s="76"/>
      <c r="J380" s="76">
        <f t="shared" si="57"/>
        <v>22</v>
      </c>
      <c r="K380" s="279">
        <v>22</v>
      </c>
      <c r="L380" s="76"/>
      <c r="M380" s="76"/>
      <c r="N380" s="266">
        <v>30</v>
      </c>
      <c r="O380" s="80"/>
    </row>
    <row r="381" ht="36" spans="1:15">
      <c r="A381" s="252" t="s">
        <v>549</v>
      </c>
      <c r="B381" s="73"/>
      <c r="C381" s="73"/>
      <c r="D381" s="73"/>
      <c r="E381" s="286"/>
      <c r="F381" s="246"/>
      <c r="G381" s="287"/>
      <c r="H381" s="76">
        <f t="shared" si="56"/>
        <v>161.69</v>
      </c>
      <c r="I381" s="76">
        <f t="shared" ref="I381:M381" si="72">SUM(I382:I384)</f>
        <v>0</v>
      </c>
      <c r="J381" s="76">
        <f t="shared" si="57"/>
        <v>161.69</v>
      </c>
      <c r="K381" s="76">
        <f t="shared" si="72"/>
        <v>143.69</v>
      </c>
      <c r="L381" s="76">
        <f t="shared" si="72"/>
        <v>18</v>
      </c>
      <c r="M381" s="76">
        <f t="shared" si="72"/>
        <v>0</v>
      </c>
      <c r="N381" s="266"/>
      <c r="O381" s="76"/>
    </row>
    <row r="382" ht="36" spans="1:15">
      <c r="A382" s="252" t="s">
        <v>549</v>
      </c>
      <c r="B382" s="73" t="s">
        <v>305</v>
      </c>
      <c r="C382" s="73" t="s">
        <v>158</v>
      </c>
      <c r="D382" s="73" t="s">
        <v>225</v>
      </c>
      <c r="E382" s="74" t="s">
        <v>134</v>
      </c>
      <c r="F382" s="226"/>
      <c r="G382" s="75" t="s">
        <v>416</v>
      </c>
      <c r="H382" s="76">
        <f t="shared" si="56"/>
        <v>121.29</v>
      </c>
      <c r="I382" s="76"/>
      <c r="J382" s="76">
        <f t="shared" si="57"/>
        <v>121.29</v>
      </c>
      <c r="K382" s="279">
        <v>121.29</v>
      </c>
      <c r="L382" s="76"/>
      <c r="M382" s="76"/>
      <c r="N382" s="268"/>
      <c r="O382" s="80"/>
    </row>
    <row r="383" ht="36" spans="1:15">
      <c r="A383" s="252" t="s">
        <v>549</v>
      </c>
      <c r="B383" s="73" t="s">
        <v>305</v>
      </c>
      <c r="C383" s="73" t="s">
        <v>158</v>
      </c>
      <c r="D383" s="73" t="s">
        <v>225</v>
      </c>
      <c r="E383" s="74" t="s">
        <v>417</v>
      </c>
      <c r="F383" s="226"/>
      <c r="G383" s="75" t="s">
        <v>418</v>
      </c>
      <c r="H383" s="76">
        <f t="shared" si="56"/>
        <v>15.4</v>
      </c>
      <c r="I383" s="76"/>
      <c r="J383" s="76">
        <f t="shared" si="57"/>
        <v>15.4</v>
      </c>
      <c r="K383" s="279">
        <v>15.4</v>
      </c>
      <c r="L383" s="76"/>
      <c r="M383" s="76"/>
      <c r="N383" s="268"/>
      <c r="O383" s="79" t="s">
        <v>419</v>
      </c>
    </row>
    <row r="384" ht="36" spans="1:15">
      <c r="A384" s="252" t="s">
        <v>549</v>
      </c>
      <c r="B384" s="73" t="s">
        <v>305</v>
      </c>
      <c r="C384" s="73" t="s">
        <v>158</v>
      </c>
      <c r="D384" s="73" t="s">
        <v>225</v>
      </c>
      <c r="E384" s="74" t="s">
        <v>210</v>
      </c>
      <c r="F384" s="241" t="s">
        <v>210</v>
      </c>
      <c r="G384" s="75" t="s">
        <v>550</v>
      </c>
      <c r="H384" s="76">
        <f t="shared" si="56"/>
        <v>25</v>
      </c>
      <c r="I384" s="76"/>
      <c r="J384" s="76">
        <f t="shared" si="57"/>
        <v>25</v>
      </c>
      <c r="K384" s="279">
        <v>7</v>
      </c>
      <c r="L384" s="76">
        <v>18</v>
      </c>
      <c r="M384" s="76"/>
      <c r="N384" s="266">
        <v>20</v>
      </c>
      <c r="O384" s="77" t="s">
        <v>551</v>
      </c>
    </row>
    <row r="385" ht="24" spans="1:15">
      <c r="A385" s="252" t="s">
        <v>552</v>
      </c>
      <c r="B385" s="73"/>
      <c r="C385" s="73"/>
      <c r="D385" s="73"/>
      <c r="E385" s="286"/>
      <c r="F385" s="246"/>
      <c r="G385" s="287"/>
      <c r="H385" s="76">
        <f t="shared" si="56"/>
        <v>32679.74</v>
      </c>
      <c r="I385" s="76">
        <f t="shared" ref="I385:M385" si="73">SUM(I386:I388)</f>
        <v>0</v>
      </c>
      <c r="J385" s="76">
        <f t="shared" si="57"/>
        <v>32679.74</v>
      </c>
      <c r="K385" s="76">
        <f t="shared" si="73"/>
        <v>32679.74</v>
      </c>
      <c r="L385" s="76">
        <f t="shared" si="73"/>
        <v>0</v>
      </c>
      <c r="M385" s="76">
        <f t="shared" si="73"/>
        <v>0</v>
      </c>
      <c r="N385" s="266"/>
      <c r="O385" s="76"/>
    </row>
    <row r="386" ht="24" spans="1:15">
      <c r="A386" s="252" t="s">
        <v>552</v>
      </c>
      <c r="B386" s="73" t="s">
        <v>232</v>
      </c>
      <c r="C386" s="73" t="s">
        <v>166</v>
      </c>
      <c r="D386" s="73" t="s">
        <v>166</v>
      </c>
      <c r="E386" s="74" t="s">
        <v>134</v>
      </c>
      <c r="F386" s="226"/>
      <c r="G386" s="75" t="s">
        <v>416</v>
      </c>
      <c r="H386" s="76">
        <f t="shared" si="56"/>
        <v>1001.47</v>
      </c>
      <c r="I386" s="76"/>
      <c r="J386" s="76">
        <f t="shared" si="57"/>
        <v>1001.47</v>
      </c>
      <c r="K386" s="76">
        <f>1035.66-34.19</f>
        <v>1001.47</v>
      </c>
      <c r="L386" s="76"/>
      <c r="M386" s="76"/>
      <c r="N386" s="293"/>
      <c r="O386" s="278"/>
    </row>
    <row r="387" ht="36" spans="1:15">
      <c r="A387" s="252" t="s">
        <v>552</v>
      </c>
      <c r="B387" s="73" t="s">
        <v>232</v>
      </c>
      <c r="C387" s="73" t="s">
        <v>166</v>
      </c>
      <c r="D387" s="73" t="s">
        <v>166</v>
      </c>
      <c r="E387" s="74" t="s">
        <v>417</v>
      </c>
      <c r="F387" s="226"/>
      <c r="G387" s="75" t="s">
        <v>418</v>
      </c>
      <c r="H387" s="76">
        <f t="shared" si="56"/>
        <v>99.99</v>
      </c>
      <c r="I387" s="76"/>
      <c r="J387" s="76">
        <f t="shared" si="57"/>
        <v>99.99</v>
      </c>
      <c r="K387" s="76">
        <f>34.19+65.8</f>
        <v>99.99</v>
      </c>
      <c r="L387" s="76"/>
      <c r="M387" s="76"/>
      <c r="N387" s="293"/>
      <c r="O387" s="79" t="s">
        <v>419</v>
      </c>
    </row>
    <row r="388" ht="24" spans="1:15">
      <c r="A388" s="252" t="s">
        <v>553</v>
      </c>
      <c r="B388" s="73" t="s">
        <v>232</v>
      </c>
      <c r="C388" s="73" t="s">
        <v>225</v>
      </c>
      <c r="D388" s="73" t="s">
        <v>149</v>
      </c>
      <c r="E388" s="74" t="s">
        <v>134</v>
      </c>
      <c r="F388" s="246"/>
      <c r="G388" s="75" t="s">
        <v>554</v>
      </c>
      <c r="H388" s="76">
        <f t="shared" si="56"/>
        <v>31578.28</v>
      </c>
      <c r="I388" s="76"/>
      <c r="J388" s="76">
        <f t="shared" si="57"/>
        <v>31578.28</v>
      </c>
      <c r="K388" s="76">
        <v>31578.28</v>
      </c>
      <c r="L388" s="76"/>
      <c r="M388" s="76"/>
      <c r="N388" s="266"/>
      <c r="O388" s="76"/>
    </row>
    <row r="389" ht="24" spans="1:15">
      <c r="A389" s="252" t="s">
        <v>555</v>
      </c>
      <c r="B389" s="73"/>
      <c r="C389" s="73"/>
      <c r="D389" s="73"/>
      <c r="E389" s="286"/>
      <c r="F389" s="246"/>
      <c r="G389" s="287"/>
      <c r="H389" s="76">
        <f t="shared" si="56"/>
        <v>690.08</v>
      </c>
      <c r="I389" s="76">
        <f t="shared" ref="I389:M389" si="74">SUM(I390:I390)</f>
        <v>0</v>
      </c>
      <c r="J389" s="76">
        <f t="shared" si="57"/>
        <v>690.08</v>
      </c>
      <c r="K389" s="76">
        <f>SUM(K390:K391)</f>
        <v>690.08</v>
      </c>
      <c r="L389" s="76">
        <f t="shared" si="74"/>
        <v>0</v>
      </c>
      <c r="M389" s="76">
        <f t="shared" si="74"/>
        <v>0</v>
      </c>
      <c r="N389" s="266"/>
      <c r="O389" s="76"/>
    </row>
    <row r="390" ht="24" spans="1:15">
      <c r="A390" s="252" t="s">
        <v>555</v>
      </c>
      <c r="B390" s="73" t="s">
        <v>133</v>
      </c>
      <c r="C390" s="73" t="s">
        <v>145</v>
      </c>
      <c r="D390" s="73" t="s">
        <v>166</v>
      </c>
      <c r="E390" s="74" t="s">
        <v>134</v>
      </c>
      <c r="F390" s="246"/>
      <c r="G390" s="75" t="s">
        <v>416</v>
      </c>
      <c r="H390" s="76">
        <f t="shared" si="56"/>
        <v>654.81</v>
      </c>
      <c r="I390" s="76"/>
      <c r="J390" s="76">
        <f t="shared" si="57"/>
        <v>654.81</v>
      </c>
      <c r="K390" s="76">
        <f>680.08-25.27</f>
        <v>654.81</v>
      </c>
      <c r="L390" s="76"/>
      <c r="M390" s="76"/>
      <c r="N390" s="266"/>
      <c r="O390" s="76"/>
    </row>
    <row r="391" ht="48" spans="1:15">
      <c r="A391" s="252" t="s">
        <v>555</v>
      </c>
      <c r="B391" s="73" t="s">
        <v>133</v>
      </c>
      <c r="C391" s="73" t="s">
        <v>145</v>
      </c>
      <c r="D391" s="73" t="s">
        <v>166</v>
      </c>
      <c r="E391" s="74" t="s">
        <v>417</v>
      </c>
      <c r="F391" s="246"/>
      <c r="G391" s="75" t="s">
        <v>418</v>
      </c>
      <c r="H391" s="76">
        <f t="shared" si="56"/>
        <v>35.27</v>
      </c>
      <c r="I391" s="76"/>
      <c r="J391" s="76">
        <f t="shared" si="57"/>
        <v>35.27</v>
      </c>
      <c r="K391" s="76">
        <f>10+25.27</f>
        <v>35.27</v>
      </c>
      <c r="L391" s="76"/>
      <c r="M391" s="76"/>
      <c r="N391" s="266"/>
      <c r="O391" s="79" t="s">
        <v>556</v>
      </c>
    </row>
    <row r="392" ht="24" spans="1:15">
      <c r="A392" s="252" t="s">
        <v>557</v>
      </c>
      <c r="B392" s="73"/>
      <c r="C392" s="73"/>
      <c r="D392" s="73"/>
      <c r="E392" s="286"/>
      <c r="F392" s="246"/>
      <c r="G392" s="287"/>
      <c r="H392" s="76">
        <f t="shared" ref="H392:H426" si="75">I392+K392+L392+M392</f>
        <v>534.24</v>
      </c>
      <c r="I392" s="76">
        <f t="shared" ref="I392:M392" si="76">SUM(I393:I393)</f>
        <v>0</v>
      </c>
      <c r="J392" s="76">
        <f t="shared" ref="J392:J426" si="77">K392+L392+M392</f>
        <v>534.24</v>
      </c>
      <c r="K392" s="76">
        <f>SUM(K393:K394)</f>
        <v>534.24</v>
      </c>
      <c r="L392" s="76">
        <f t="shared" si="76"/>
        <v>0</v>
      </c>
      <c r="M392" s="76">
        <f t="shared" si="76"/>
        <v>0</v>
      </c>
      <c r="N392" s="266"/>
      <c r="O392" s="76"/>
    </row>
    <row r="393" ht="24" spans="1:15">
      <c r="A393" s="252" t="s">
        <v>557</v>
      </c>
      <c r="B393" s="73" t="s">
        <v>133</v>
      </c>
      <c r="C393" s="73" t="s">
        <v>145</v>
      </c>
      <c r="D393" s="73" t="s">
        <v>166</v>
      </c>
      <c r="E393" s="74" t="s">
        <v>134</v>
      </c>
      <c r="F393" s="246"/>
      <c r="G393" s="75" t="s">
        <v>416</v>
      </c>
      <c r="H393" s="76">
        <f t="shared" si="75"/>
        <v>498.85</v>
      </c>
      <c r="I393" s="76"/>
      <c r="J393" s="76">
        <f t="shared" si="77"/>
        <v>498.85</v>
      </c>
      <c r="K393" s="76">
        <f>524.24-25.39</f>
        <v>498.85</v>
      </c>
      <c r="L393" s="76"/>
      <c r="M393" s="76"/>
      <c r="N393" s="266"/>
      <c r="O393" s="76"/>
    </row>
    <row r="394" ht="48" spans="1:15">
      <c r="A394" s="252" t="s">
        <v>557</v>
      </c>
      <c r="B394" s="73" t="s">
        <v>133</v>
      </c>
      <c r="C394" s="73" t="s">
        <v>145</v>
      </c>
      <c r="D394" s="73" t="s">
        <v>166</v>
      </c>
      <c r="E394" s="74" t="s">
        <v>417</v>
      </c>
      <c r="F394" s="246"/>
      <c r="G394" s="75" t="s">
        <v>418</v>
      </c>
      <c r="H394" s="76">
        <f t="shared" si="75"/>
        <v>35.39</v>
      </c>
      <c r="I394" s="76"/>
      <c r="J394" s="76">
        <f t="shared" si="77"/>
        <v>35.39</v>
      </c>
      <c r="K394" s="76">
        <f>25.39+10</f>
        <v>35.39</v>
      </c>
      <c r="L394" s="76"/>
      <c r="M394" s="76"/>
      <c r="N394" s="266"/>
      <c r="O394" s="79" t="s">
        <v>556</v>
      </c>
    </row>
    <row r="395" ht="24" spans="1:15">
      <c r="A395" s="252" t="s">
        <v>558</v>
      </c>
      <c r="B395" s="73"/>
      <c r="C395" s="73"/>
      <c r="D395" s="73"/>
      <c r="E395" s="286"/>
      <c r="F395" s="246"/>
      <c r="G395" s="287"/>
      <c r="H395" s="76">
        <f t="shared" si="75"/>
        <v>782.26</v>
      </c>
      <c r="I395" s="76">
        <f>SUM(I396:I396)</f>
        <v>0</v>
      </c>
      <c r="J395" s="76">
        <f t="shared" si="77"/>
        <v>782.26</v>
      </c>
      <c r="K395" s="76">
        <f>SUM(K396:K397)</f>
        <v>742.26</v>
      </c>
      <c r="L395" s="76">
        <f>SUM(L396:L397)</f>
        <v>40</v>
      </c>
      <c r="M395" s="76">
        <f>SUM(M396:M396)</f>
        <v>0</v>
      </c>
      <c r="N395" s="266"/>
      <c r="O395" s="76"/>
    </row>
    <row r="396" ht="24" spans="1:15">
      <c r="A396" s="252" t="s">
        <v>558</v>
      </c>
      <c r="B396" s="73" t="s">
        <v>133</v>
      </c>
      <c r="C396" s="73" t="s">
        <v>145</v>
      </c>
      <c r="D396" s="73" t="s">
        <v>166</v>
      </c>
      <c r="E396" s="74" t="s">
        <v>134</v>
      </c>
      <c r="F396" s="246"/>
      <c r="G396" s="75" t="s">
        <v>416</v>
      </c>
      <c r="H396" s="76">
        <f t="shared" si="75"/>
        <v>708.21</v>
      </c>
      <c r="I396" s="76"/>
      <c r="J396" s="76">
        <f t="shared" si="77"/>
        <v>708.21</v>
      </c>
      <c r="K396" s="76">
        <f>732.26-24.05</f>
        <v>708.21</v>
      </c>
      <c r="L396" s="76"/>
      <c r="M396" s="76"/>
      <c r="N396" s="266"/>
      <c r="O396" s="76"/>
    </row>
    <row r="397" ht="48" spans="1:15">
      <c r="A397" s="252" t="s">
        <v>558</v>
      </c>
      <c r="B397" s="73" t="s">
        <v>133</v>
      </c>
      <c r="C397" s="73" t="s">
        <v>145</v>
      </c>
      <c r="D397" s="73" t="s">
        <v>166</v>
      </c>
      <c r="E397" s="74" t="s">
        <v>417</v>
      </c>
      <c r="F397" s="246"/>
      <c r="G397" s="75" t="s">
        <v>418</v>
      </c>
      <c r="H397" s="76">
        <f t="shared" si="75"/>
        <v>74.05</v>
      </c>
      <c r="I397" s="76"/>
      <c r="J397" s="76">
        <f t="shared" si="77"/>
        <v>74.05</v>
      </c>
      <c r="K397" s="76">
        <f>24.05+10</f>
        <v>34.05</v>
      </c>
      <c r="L397" s="76">
        <v>40</v>
      </c>
      <c r="M397" s="76"/>
      <c r="N397" s="266"/>
      <c r="O397" s="79" t="s">
        <v>556</v>
      </c>
    </row>
    <row r="398" ht="24" spans="1:15">
      <c r="A398" s="252" t="s">
        <v>559</v>
      </c>
      <c r="B398" s="73"/>
      <c r="C398" s="73"/>
      <c r="D398" s="73"/>
      <c r="E398" s="286"/>
      <c r="F398" s="246"/>
      <c r="G398" s="287"/>
      <c r="H398" s="76">
        <f t="shared" si="75"/>
        <v>666.48</v>
      </c>
      <c r="I398" s="76">
        <f>SUM(I399:I399)</f>
        <v>0</v>
      </c>
      <c r="J398" s="76">
        <f t="shared" si="77"/>
        <v>666.48</v>
      </c>
      <c r="K398" s="76">
        <f>SUM(K399:K400)</f>
        <v>626.48</v>
      </c>
      <c r="L398" s="76">
        <f>SUM(L399:L400)</f>
        <v>40</v>
      </c>
      <c r="M398" s="76">
        <f>SUM(M399:M399)</f>
        <v>0</v>
      </c>
      <c r="N398" s="266"/>
      <c r="O398" s="76"/>
    </row>
    <row r="399" ht="24" spans="1:15">
      <c r="A399" s="252" t="s">
        <v>559</v>
      </c>
      <c r="B399" s="73" t="s">
        <v>133</v>
      </c>
      <c r="C399" s="73" t="s">
        <v>145</v>
      </c>
      <c r="D399" s="73" t="s">
        <v>166</v>
      </c>
      <c r="E399" s="74" t="s">
        <v>134</v>
      </c>
      <c r="F399" s="246"/>
      <c r="G399" s="75" t="s">
        <v>416</v>
      </c>
      <c r="H399" s="76">
        <f t="shared" si="75"/>
        <v>592.86</v>
      </c>
      <c r="I399" s="76"/>
      <c r="J399" s="76">
        <f t="shared" si="77"/>
        <v>592.86</v>
      </c>
      <c r="K399" s="76">
        <f>616.48-23.62</f>
        <v>592.86</v>
      </c>
      <c r="L399" s="76"/>
      <c r="M399" s="76"/>
      <c r="N399" s="266"/>
      <c r="O399" s="76"/>
    </row>
    <row r="400" ht="48" spans="1:15">
      <c r="A400" s="252" t="s">
        <v>559</v>
      </c>
      <c r="B400" s="73" t="s">
        <v>133</v>
      </c>
      <c r="C400" s="73" t="s">
        <v>145</v>
      </c>
      <c r="D400" s="73" t="s">
        <v>166</v>
      </c>
      <c r="E400" s="74" t="s">
        <v>417</v>
      </c>
      <c r="F400" s="246"/>
      <c r="G400" s="75" t="s">
        <v>418</v>
      </c>
      <c r="H400" s="76">
        <f t="shared" si="75"/>
        <v>73.62</v>
      </c>
      <c r="I400" s="76"/>
      <c r="J400" s="76">
        <f t="shared" si="77"/>
        <v>73.62</v>
      </c>
      <c r="K400" s="76">
        <f>10+23.62</f>
        <v>33.62</v>
      </c>
      <c r="L400" s="76">
        <v>40</v>
      </c>
      <c r="M400" s="76"/>
      <c r="N400" s="266"/>
      <c r="O400" s="79" t="s">
        <v>556</v>
      </c>
    </row>
    <row r="401" ht="24" spans="1:15">
      <c r="A401" s="252" t="s">
        <v>560</v>
      </c>
      <c r="B401" s="73"/>
      <c r="C401" s="73"/>
      <c r="D401" s="73"/>
      <c r="E401" s="286"/>
      <c r="F401" s="246"/>
      <c r="G401" s="287"/>
      <c r="H401" s="76">
        <f t="shared" si="75"/>
        <v>563.39</v>
      </c>
      <c r="I401" s="76">
        <f t="shared" ref="I401:M401" si="78">SUM(I402:I404)</f>
        <v>0</v>
      </c>
      <c r="J401" s="76">
        <f t="shared" si="77"/>
        <v>563.39</v>
      </c>
      <c r="K401" s="76">
        <f t="shared" si="78"/>
        <v>563.39</v>
      </c>
      <c r="L401" s="76">
        <f t="shared" si="78"/>
        <v>0</v>
      </c>
      <c r="M401" s="76">
        <f t="shared" si="78"/>
        <v>0</v>
      </c>
      <c r="N401" s="266"/>
      <c r="O401" s="76"/>
    </row>
    <row r="402" ht="24" spans="1:15">
      <c r="A402" s="252" t="s">
        <v>560</v>
      </c>
      <c r="B402" s="73" t="s">
        <v>133</v>
      </c>
      <c r="C402" s="73" t="s">
        <v>145</v>
      </c>
      <c r="D402" s="73" t="s">
        <v>166</v>
      </c>
      <c r="E402" s="74" t="s">
        <v>134</v>
      </c>
      <c r="F402" s="246"/>
      <c r="G402" s="75" t="s">
        <v>416</v>
      </c>
      <c r="H402" s="76">
        <f t="shared" si="75"/>
        <v>523.73</v>
      </c>
      <c r="I402" s="76"/>
      <c r="J402" s="76">
        <f t="shared" si="77"/>
        <v>523.73</v>
      </c>
      <c r="K402" s="76">
        <f>543.39-19.66</f>
        <v>523.73</v>
      </c>
      <c r="L402" s="76"/>
      <c r="M402" s="76"/>
      <c r="N402" s="266"/>
      <c r="O402" s="76"/>
    </row>
    <row r="403" ht="48" spans="1:15">
      <c r="A403" s="252" t="s">
        <v>560</v>
      </c>
      <c r="B403" s="73" t="s">
        <v>133</v>
      </c>
      <c r="C403" s="73" t="s">
        <v>145</v>
      </c>
      <c r="D403" s="73" t="s">
        <v>225</v>
      </c>
      <c r="E403" s="74" t="s">
        <v>417</v>
      </c>
      <c r="F403" s="246"/>
      <c r="G403" s="75" t="s">
        <v>418</v>
      </c>
      <c r="H403" s="76">
        <f t="shared" si="75"/>
        <v>29.66</v>
      </c>
      <c r="I403" s="76"/>
      <c r="J403" s="76">
        <f t="shared" si="77"/>
        <v>29.66</v>
      </c>
      <c r="K403" s="76">
        <f>19.66+10</f>
        <v>29.66</v>
      </c>
      <c r="L403" s="76"/>
      <c r="M403" s="76"/>
      <c r="N403" s="266"/>
      <c r="O403" s="79" t="s">
        <v>556</v>
      </c>
    </row>
    <row r="404" ht="25.2" spans="1:15">
      <c r="A404" s="252" t="s">
        <v>560</v>
      </c>
      <c r="B404" s="73" t="s">
        <v>133</v>
      </c>
      <c r="C404" s="73" t="s">
        <v>149</v>
      </c>
      <c r="D404" s="73" t="s">
        <v>149</v>
      </c>
      <c r="E404" s="74" t="s">
        <v>210</v>
      </c>
      <c r="F404" s="241" t="s">
        <v>210</v>
      </c>
      <c r="G404" s="75" t="s">
        <v>561</v>
      </c>
      <c r="H404" s="76">
        <f t="shared" si="75"/>
        <v>10</v>
      </c>
      <c r="I404" s="76"/>
      <c r="J404" s="76">
        <f t="shared" si="77"/>
        <v>10</v>
      </c>
      <c r="K404" s="76">
        <v>10</v>
      </c>
      <c r="L404" s="76"/>
      <c r="M404" s="76"/>
      <c r="N404" s="266">
        <v>10</v>
      </c>
      <c r="O404" s="80"/>
    </row>
    <row r="405" ht="24" spans="1:15">
      <c r="A405" s="252" t="s">
        <v>562</v>
      </c>
      <c r="B405" s="73"/>
      <c r="C405" s="73"/>
      <c r="D405" s="73"/>
      <c r="E405" s="286"/>
      <c r="F405" s="246"/>
      <c r="G405" s="287"/>
      <c r="H405" s="76">
        <f t="shared" si="75"/>
        <v>476.71</v>
      </c>
      <c r="I405" s="76">
        <f t="shared" ref="I405:M405" si="79">SUM(I406:I406)</f>
        <v>0</v>
      </c>
      <c r="J405" s="76">
        <f t="shared" si="77"/>
        <v>476.71</v>
      </c>
      <c r="K405" s="76">
        <f>SUM(K406:K407)</f>
        <v>476.71</v>
      </c>
      <c r="L405" s="76">
        <f t="shared" si="79"/>
        <v>0</v>
      </c>
      <c r="M405" s="76">
        <f t="shared" si="79"/>
        <v>0</v>
      </c>
      <c r="N405" s="266"/>
      <c r="O405" s="76"/>
    </row>
    <row r="406" ht="24" spans="1:15">
      <c r="A406" s="252" t="s">
        <v>562</v>
      </c>
      <c r="B406" s="73" t="s">
        <v>133</v>
      </c>
      <c r="C406" s="73" t="s">
        <v>145</v>
      </c>
      <c r="D406" s="73" t="s">
        <v>166</v>
      </c>
      <c r="E406" s="74" t="s">
        <v>134</v>
      </c>
      <c r="F406" s="246"/>
      <c r="G406" s="75" t="s">
        <v>416</v>
      </c>
      <c r="H406" s="76">
        <f t="shared" si="75"/>
        <v>443.68</v>
      </c>
      <c r="I406" s="76"/>
      <c r="J406" s="76">
        <f t="shared" si="77"/>
        <v>443.68</v>
      </c>
      <c r="K406" s="76">
        <f>466.71-23.03</f>
        <v>443.68</v>
      </c>
      <c r="L406" s="76"/>
      <c r="M406" s="76"/>
      <c r="N406" s="266"/>
      <c r="O406" s="76"/>
    </row>
    <row r="407" ht="48" spans="1:15">
      <c r="A407" s="252" t="s">
        <v>562</v>
      </c>
      <c r="B407" s="73" t="s">
        <v>133</v>
      </c>
      <c r="C407" s="73" t="s">
        <v>145</v>
      </c>
      <c r="D407" s="73" t="s">
        <v>166</v>
      </c>
      <c r="E407" s="74" t="s">
        <v>417</v>
      </c>
      <c r="F407" s="246"/>
      <c r="G407" s="75" t="s">
        <v>418</v>
      </c>
      <c r="H407" s="76">
        <f t="shared" si="75"/>
        <v>33.03</v>
      </c>
      <c r="I407" s="76"/>
      <c r="J407" s="76">
        <f t="shared" si="77"/>
        <v>33.03</v>
      </c>
      <c r="K407" s="76">
        <f>23.03+10</f>
        <v>33.03</v>
      </c>
      <c r="L407" s="76"/>
      <c r="M407" s="76"/>
      <c r="N407" s="266"/>
      <c r="O407" s="79" t="s">
        <v>556</v>
      </c>
    </row>
    <row r="408" ht="24" spans="1:15">
      <c r="A408" s="252" t="s">
        <v>563</v>
      </c>
      <c r="B408" s="73"/>
      <c r="C408" s="73"/>
      <c r="D408" s="73"/>
      <c r="E408" s="286"/>
      <c r="F408" s="246"/>
      <c r="G408" s="287"/>
      <c r="H408" s="76">
        <f t="shared" si="75"/>
        <v>833.1</v>
      </c>
      <c r="I408" s="76">
        <f>SUM(I409:I409)</f>
        <v>0</v>
      </c>
      <c r="J408" s="76">
        <f t="shared" si="77"/>
        <v>833.1</v>
      </c>
      <c r="K408" s="76">
        <f>SUM(K409:K410)</f>
        <v>823.1</v>
      </c>
      <c r="L408" s="76">
        <f>SUM(L409:L410)</f>
        <v>10</v>
      </c>
      <c r="M408" s="76">
        <f>SUM(M409:M409)</f>
        <v>0</v>
      </c>
      <c r="N408" s="266"/>
      <c r="O408" s="76"/>
    </row>
    <row r="409" ht="24" spans="1:15">
      <c r="A409" s="252" t="s">
        <v>563</v>
      </c>
      <c r="B409" s="73" t="s">
        <v>133</v>
      </c>
      <c r="C409" s="73" t="s">
        <v>145</v>
      </c>
      <c r="D409" s="73" t="s">
        <v>166</v>
      </c>
      <c r="E409" s="74" t="s">
        <v>134</v>
      </c>
      <c r="F409" s="246"/>
      <c r="G409" s="75" t="s">
        <v>416</v>
      </c>
      <c r="H409" s="76">
        <f t="shared" si="75"/>
        <v>781.84</v>
      </c>
      <c r="I409" s="76"/>
      <c r="J409" s="76">
        <f t="shared" si="77"/>
        <v>781.84</v>
      </c>
      <c r="K409" s="76">
        <f>813.1-31.26</f>
        <v>781.84</v>
      </c>
      <c r="L409" s="76"/>
      <c r="M409" s="76"/>
      <c r="N409" s="266"/>
      <c r="O409" s="76"/>
    </row>
    <row r="410" ht="48" spans="1:15">
      <c r="A410" s="252" t="s">
        <v>563</v>
      </c>
      <c r="B410" s="73" t="s">
        <v>133</v>
      </c>
      <c r="C410" s="73" t="s">
        <v>145</v>
      </c>
      <c r="D410" s="73" t="s">
        <v>166</v>
      </c>
      <c r="E410" s="74" t="s">
        <v>417</v>
      </c>
      <c r="F410" s="246"/>
      <c r="G410" s="75" t="s">
        <v>418</v>
      </c>
      <c r="H410" s="76">
        <f t="shared" si="75"/>
        <v>51.26</v>
      </c>
      <c r="I410" s="76"/>
      <c r="J410" s="76">
        <f t="shared" si="77"/>
        <v>51.26</v>
      </c>
      <c r="K410" s="76">
        <f>31.26+10</f>
        <v>41.26</v>
      </c>
      <c r="L410" s="76">
        <v>10</v>
      </c>
      <c r="M410" s="76"/>
      <c r="N410" s="266"/>
      <c r="O410" s="79" t="s">
        <v>556</v>
      </c>
    </row>
    <row r="411" ht="24" spans="1:15">
      <c r="A411" s="252" t="s">
        <v>564</v>
      </c>
      <c r="B411" s="73"/>
      <c r="C411" s="73"/>
      <c r="D411" s="73"/>
      <c r="E411" s="286"/>
      <c r="F411" s="246"/>
      <c r="G411" s="287"/>
      <c r="H411" s="76">
        <f t="shared" si="75"/>
        <v>1347.01</v>
      </c>
      <c r="I411" s="76">
        <f t="shared" ref="I411:M411" si="80">SUM(I412:I412)</f>
        <v>0</v>
      </c>
      <c r="J411" s="76">
        <f t="shared" si="77"/>
        <v>1347.01</v>
      </c>
      <c r="K411" s="76">
        <f>SUM(K412:K413)</f>
        <v>1347.01</v>
      </c>
      <c r="L411" s="76">
        <f t="shared" si="80"/>
        <v>0</v>
      </c>
      <c r="M411" s="76">
        <f t="shared" si="80"/>
        <v>0</v>
      </c>
      <c r="N411" s="266"/>
      <c r="O411" s="76"/>
    </row>
    <row r="412" ht="24" spans="1:15">
      <c r="A412" s="252" t="s">
        <v>564</v>
      </c>
      <c r="B412" s="73" t="s">
        <v>133</v>
      </c>
      <c r="C412" s="73" t="s">
        <v>145</v>
      </c>
      <c r="D412" s="73" t="s">
        <v>166</v>
      </c>
      <c r="E412" s="74" t="s">
        <v>134</v>
      </c>
      <c r="F412" s="246"/>
      <c r="G412" s="75" t="s">
        <v>416</v>
      </c>
      <c r="H412" s="76">
        <f t="shared" si="75"/>
        <v>1266.65</v>
      </c>
      <c r="I412" s="76"/>
      <c r="J412" s="76">
        <f t="shared" si="77"/>
        <v>1266.65</v>
      </c>
      <c r="K412" s="76">
        <f>1317.01-50.36</f>
        <v>1266.65</v>
      </c>
      <c r="L412" s="76"/>
      <c r="M412" s="76"/>
      <c r="N412" s="266"/>
      <c r="O412" s="76"/>
    </row>
    <row r="413" ht="48" spans="1:15">
      <c r="A413" s="252" t="s">
        <v>564</v>
      </c>
      <c r="B413" s="73" t="s">
        <v>133</v>
      </c>
      <c r="C413" s="73" t="s">
        <v>145</v>
      </c>
      <c r="D413" s="73" t="s">
        <v>166</v>
      </c>
      <c r="E413" s="74" t="s">
        <v>417</v>
      </c>
      <c r="F413" s="246"/>
      <c r="G413" s="75" t="s">
        <v>418</v>
      </c>
      <c r="H413" s="76">
        <f t="shared" si="75"/>
        <v>80.36</v>
      </c>
      <c r="I413" s="76"/>
      <c r="J413" s="76">
        <f t="shared" si="77"/>
        <v>80.36</v>
      </c>
      <c r="K413" s="76">
        <f>50.36+30</f>
        <v>80.36</v>
      </c>
      <c r="L413" s="76"/>
      <c r="M413" s="76"/>
      <c r="N413" s="266"/>
      <c r="O413" s="79" t="s">
        <v>556</v>
      </c>
    </row>
    <row r="414" ht="24" spans="1:15">
      <c r="A414" s="252" t="s">
        <v>565</v>
      </c>
      <c r="B414" s="73"/>
      <c r="C414" s="73"/>
      <c r="D414" s="73"/>
      <c r="E414" s="286"/>
      <c r="F414" s="246"/>
      <c r="G414" s="287"/>
      <c r="H414" s="76">
        <f t="shared" si="75"/>
        <v>274.11</v>
      </c>
      <c r="I414" s="76">
        <f t="shared" ref="I414:M414" si="81">SUM(I415)</f>
        <v>0</v>
      </c>
      <c r="J414" s="76">
        <f t="shared" si="77"/>
        <v>274.11</v>
      </c>
      <c r="K414" s="76">
        <f t="shared" si="81"/>
        <v>274.11</v>
      </c>
      <c r="L414" s="76">
        <f t="shared" si="81"/>
        <v>0</v>
      </c>
      <c r="M414" s="76">
        <f t="shared" si="81"/>
        <v>0</v>
      </c>
      <c r="N414" s="266"/>
      <c r="O414" s="76"/>
    </row>
    <row r="415" ht="24" spans="1:15">
      <c r="A415" s="252" t="s">
        <v>565</v>
      </c>
      <c r="B415" s="73" t="s">
        <v>165</v>
      </c>
      <c r="C415" s="73" t="s">
        <v>158</v>
      </c>
      <c r="D415" s="73" t="s">
        <v>166</v>
      </c>
      <c r="E415" s="74" t="s">
        <v>134</v>
      </c>
      <c r="F415" s="246"/>
      <c r="G415" s="75" t="s">
        <v>416</v>
      </c>
      <c r="H415" s="76">
        <f t="shared" si="75"/>
        <v>274.11</v>
      </c>
      <c r="I415" s="76"/>
      <c r="J415" s="76">
        <f t="shared" si="77"/>
        <v>274.11</v>
      </c>
      <c r="K415" s="76">
        <v>274.11</v>
      </c>
      <c r="L415" s="76"/>
      <c r="M415" s="76"/>
      <c r="N415" s="266"/>
      <c r="O415" s="76"/>
    </row>
    <row r="416" ht="24" spans="1:15">
      <c r="A416" s="252" t="s">
        <v>566</v>
      </c>
      <c r="B416" s="73"/>
      <c r="C416" s="73"/>
      <c r="D416" s="73"/>
      <c r="E416" s="286"/>
      <c r="F416" s="246"/>
      <c r="G416" s="287"/>
      <c r="H416" s="76">
        <f t="shared" si="75"/>
        <v>382.42</v>
      </c>
      <c r="I416" s="76">
        <f t="shared" ref="I416:M416" si="82">SUM(I417)</f>
        <v>0</v>
      </c>
      <c r="J416" s="76">
        <f t="shared" si="77"/>
        <v>382.42</v>
      </c>
      <c r="K416" s="76">
        <f t="shared" si="82"/>
        <v>382.42</v>
      </c>
      <c r="L416" s="76">
        <f t="shared" si="82"/>
        <v>0</v>
      </c>
      <c r="M416" s="76">
        <f t="shared" si="82"/>
        <v>0</v>
      </c>
      <c r="N416" s="266"/>
      <c r="O416" s="76"/>
    </row>
    <row r="417" ht="24" spans="1:15">
      <c r="A417" s="252" t="s">
        <v>566</v>
      </c>
      <c r="B417" s="73" t="s">
        <v>165</v>
      </c>
      <c r="C417" s="73" t="s">
        <v>142</v>
      </c>
      <c r="D417" s="73" t="s">
        <v>166</v>
      </c>
      <c r="E417" s="74" t="s">
        <v>134</v>
      </c>
      <c r="F417" s="246"/>
      <c r="G417" s="75" t="s">
        <v>416</v>
      </c>
      <c r="H417" s="76">
        <f t="shared" si="75"/>
        <v>382.42</v>
      </c>
      <c r="I417" s="76"/>
      <c r="J417" s="76">
        <f t="shared" si="77"/>
        <v>382.42</v>
      </c>
      <c r="K417" s="76">
        <v>382.42</v>
      </c>
      <c r="L417" s="76"/>
      <c r="M417" s="76"/>
      <c r="N417" s="266"/>
      <c r="O417" s="76"/>
    </row>
    <row r="418" ht="24" spans="1:15">
      <c r="A418" s="252" t="s">
        <v>567</v>
      </c>
      <c r="B418" s="73"/>
      <c r="C418" s="73"/>
      <c r="D418" s="73"/>
      <c r="E418" s="286"/>
      <c r="F418" s="246"/>
      <c r="G418" s="287"/>
      <c r="H418" s="76">
        <f t="shared" si="75"/>
        <v>878.2</v>
      </c>
      <c r="I418" s="76">
        <f t="shared" ref="I418:M418" si="83">SUM(I419:I421)</f>
        <v>0</v>
      </c>
      <c r="J418" s="76">
        <f t="shared" si="77"/>
        <v>878.2</v>
      </c>
      <c r="K418" s="76">
        <f t="shared" si="83"/>
        <v>842.2</v>
      </c>
      <c r="L418" s="76">
        <f t="shared" si="83"/>
        <v>36</v>
      </c>
      <c r="M418" s="76">
        <f t="shared" si="83"/>
        <v>0</v>
      </c>
      <c r="N418" s="266"/>
      <c r="O418" s="76"/>
    </row>
    <row r="419" ht="24" spans="1:15">
      <c r="A419" s="252" t="s">
        <v>568</v>
      </c>
      <c r="B419" s="73" t="s">
        <v>252</v>
      </c>
      <c r="C419" s="73" t="s">
        <v>225</v>
      </c>
      <c r="D419" s="73" t="s">
        <v>149</v>
      </c>
      <c r="E419" s="74" t="s">
        <v>210</v>
      </c>
      <c r="F419" s="241" t="s">
        <v>210</v>
      </c>
      <c r="G419" s="75" t="s">
        <v>569</v>
      </c>
      <c r="H419" s="76">
        <f t="shared" si="75"/>
        <v>20</v>
      </c>
      <c r="I419" s="76"/>
      <c r="J419" s="76">
        <f t="shared" si="77"/>
        <v>20</v>
      </c>
      <c r="K419" s="76">
        <v>20</v>
      </c>
      <c r="L419" s="76"/>
      <c r="M419" s="76"/>
      <c r="N419" s="266">
        <v>20</v>
      </c>
      <c r="O419" s="80"/>
    </row>
    <row r="420" ht="24" spans="1:15">
      <c r="A420" s="252" t="s">
        <v>568</v>
      </c>
      <c r="B420" s="73" t="s">
        <v>252</v>
      </c>
      <c r="C420" s="73" t="s">
        <v>225</v>
      </c>
      <c r="D420" s="73" t="s">
        <v>158</v>
      </c>
      <c r="E420" s="74" t="s">
        <v>210</v>
      </c>
      <c r="F420" s="241" t="s">
        <v>210</v>
      </c>
      <c r="G420" s="75" t="s">
        <v>570</v>
      </c>
      <c r="H420" s="76">
        <f t="shared" si="75"/>
        <v>86</v>
      </c>
      <c r="I420" s="76"/>
      <c r="J420" s="76">
        <f t="shared" si="77"/>
        <v>86</v>
      </c>
      <c r="K420" s="76">
        <v>50</v>
      </c>
      <c r="L420" s="76">
        <v>36</v>
      </c>
      <c r="M420" s="76"/>
      <c r="N420" s="266">
        <v>277</v>
      </c>
      <c r="O420" s="77" t="s">
        <v>571</v>
      </c>
    </row>
    <row r="421" ht="26.4" spans="1:15">
      <c r="A421" s="252" t="s">
        <v>568</v>
      </c>
      <c r="B421" s="73" t="s">
        <v>252</v>
      </c>
      <c r="C421" s="73" t="s">
        <v>225</v>
      </c>
      <c r="D421" s="73" t="s">
        <v>166</v>
      </c>
      <c r="E421" s="74" t="s">
        <v>210</v>
      </c>
      <c r="F421" s="241" t="s">
        <v>210</v>
      </c>
      <c r="G421" s="75" t="s">
        <v>572</v>
      </c>
      <c r="H421" s="76">
        <f t="shared" si="75"/>
        <v>772.2</v>
      </c>
      <c r="I421" s="76"/>
      <c r="J421" s="76">
        <f t="shared" si="77"/>
        <v>772.2</v>
      </c>
      <c r="K421" s="76">
        <v>772.2</v>
      </c>
      <c r="L421" s="76"/>
      <c r="M421" s="76"/>
      <c r="N421" s="266">
        <v>772.2</v>
      </c>
      <c r="O421" s="77" t="s">
        <v>573</v>
      </c>
    </row>
    <row r="422" ht="24" spans="1:15">
      <c r="A422" s="252" t="s">
        <v>574</v>
      </c>
      <c r="B422" s="73"/>
      <c r="C422" s="73"/>
      <c r="D422" s="73"/>
      <c r="E422" s="286"/>
      <c r="F422" s="246"/>
      <c r="G422" s="287"/>
      <c r="H422" s="76">
        <f t="shared" si="75"/>
        <v>384.84</v>
      </c>
      <c r="I422" s="76">
        <f t="shared" ref="I422:M422" si="84">SUM(I423)</f>
        <v>0</v>
      </c>
      <c r="J422" s="76">
        <f t="shared" si="77"/>
        <v>384.84</v>
      </c>
      <c r="K422" s="76">
        <f t="shared" si="84"/>
        <v>384.84</v>
      </c>
      <c r="L422" s="76">
        <f t="shared" si="84"/>
        <v>0</v>
      </c>
      <c r="M422" s="76">
        <f t="shared" si="84"/>
        <v>0</v>
      </c>
      <c r="N422" s="266"/>
      <c r="O422" s="76"/>
    </row>
    <row r="423" ht="39.6" spans="1:15">
      <c r="A423" s="252" t="s">
        <v>574</v>
      </c>
      <c r="B423" s="73" t="s">
        <v>165</v>
      </c>
      <c r="C423" s="73" t="s">
        <v>225</v>
      </c>
      <c r="D423" s="73" t="s">
        <v>149</v>
      </c>
      <c r="E423" s="74" t="s">
        <v>210</v>
      </c>
      <c r="F423" s="241" t="s">
        <v>210</v>
      </c>
      <c r="G423" s="75" t="s">
        <v>575</v>
      </c>
      <c r="H423" s="76">
        <f t="shared" si="75"/>
        <v>384.84</v>
      </c>
      <c r="I423" s="76"/>
      <c r="J423" s="76">
        <f t="shared" si="77"/>
        <v>384.84</v>
      </c>
      <c r="K423" s="76">
        <v>384.84</v>
      </c>
      <c r="L423" s="76"/>
      <c r="M423" s="76"/>
      <c r="N423" s="266">
        <v>497.5</v>
      </c>
      <c r="O423" s="77" t="s">
        <v>576</v>
      </c>
    </row>
    <row r="424" ht="24" spans="1:15">
      <c r="A424" s="252" t="s">
        <v>577</v>
      </c>
      <c r="B424" s="73"/>
      <c r="C424" s="73"/>
      <c r="D424" s="73"/>
      <c r="E424" s="286"/>
      <c r="F424" s="246"/>
      <c r="G424" s="287"/>
      <c r="H424" s="76">
        <f t="shared" si="75"/>
        <v>1156.94</v>
      </c>
      <c r="I424" s="76">
        <f t="shared" ref="I424:M424" si="85">SUM(I425:I426)</f>
        <v>0</v>
      </c>
      <c r="J424" s="76">
        <f t="shared" si="77"/>
        <v>1156.94</v>
      </c>
      <c r="K424" s="76">
        <f t="shared" si="85"/>
        <v>1156.94</v>
      </c>
      <c r="L424" s="76">
        <f t="shared" si="85"/>
        <v>0</v>
      </c>
      <c r="M424" s="76">
        <f t="shared" si="85"/>
        <v>0</v>
      </c>
      <c r="N424" s="266"/>
      <c r="O424" s="76"/>
    </row>
    <row r="425" ht="25.2" spans="1:15">
      <c r="A425" s="252" t="s">
        <v>577</v>
      </c>
      <c r="B425" s="73" t="s">
        <v>165</v>
      </c>
      <c r="C425" s="73" t="s">
        <v>225</v>
      </c>
      <c r="D425" s="73" t="s">
        <v>149</v>
      </c>
      <c r="E425" s="74" t="s">
        <v>210</v>
      </c>
      <c r="F425" s="241" t="s">
        <v>210</v>
      </c>
      <c r="G425" s="75" t="s">
        <v>578</v>
      </c>
      <c r="H425" s="76">
        <f t="shared" si="75"/>
        <v>626.94</v>
      </c>
      <c r="I425" s="76"/>
      <c r="J425" s="76">
        <f t="shared" si="77"/>
        <v>626.94</v>
      </c>
      <c r="K425" s="76">
        <v>626.94</v>
      </c>
      <c r="L425" s="76"/>
      <c r="M425" s="76"/>
      <c r="N425" s="266">
        <v>646.1</v>
      </c>
      <c r="O425" s="79" t="s">
        <v>579</v>
      </c>
    </row>
    <row r="426" ht="26.4" spans="1:15">
      <c r="A426" s="252" t="s">
        <v>577</v>
      </c>
      <c r="B426" s="73" t="s">
        <v>165</v>
      </c>
      <c r="C426" s="73" t="s">
        <v>225</v>
      </c>
      <c r="D426" s="73" t="s">
        <v>149</v>
      </c>
      <c r="E426" s="74" t="s">
        <v>210</v>
      </c>
      <c r="F426" s="241" t="s">
        <v>210</v>
      </c>
      <c r="G426" s="75" t="s">
        <v>575</v>
      </c>
      <c r="H426" s="76">
        <f t="shared" si="75"/>
        <v>530</v>
      </c>
      <c r="I426" s="76"/>
      <c r="J426" s="76">
        <f t="shared" si="77"/>
        <v>530</v>
      </c>
      <c r="K426" s="76">
        <v>530</v>
      </c>
      <c r="L426" s="76"/>
      <c r="M426" s="76"/>
      <c r="N426" s="76">
        <v>625.78</v>
      </c>
      <c r="O426" s="80" t="s">
        <v>580</v>
      </c>
    </row>
  </sheetData>
  <mergeCells count="15">
    <mergeCell ref="A2:O2"/>
    <mergeCell ref="I4:M4"/>
    <mergeCell ref="J5:M5"/>
    <mergeCell ref="A7:G7"/>
    <mergeCell ref="A4:A6"/>
    <mergeCell ref="B4:B6"/>
    <mergeCell ref="C4:C6"/>
    <mergeCell ref="D4:D6"/>
    <mergeCell ref="E4:E6"/>
    <mergeCell ref="F4:F6"/>
    <mergeCell ref="G4:G6"/>
    <mergeCell ref="H4:H6"/>
    <mergeCell ref="I5:I6"/>
    <mergeCell ref="N4:N6"/>
    <mergeCell ref="O4:O6"/>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26"/>
  <sheetViews>
    <sheetView topLeftCell="A13" workbookViewId="0">
      <selection activeCell="H12" sqref="H12"/>
    </sheetView>
  </sheetViews>
  <sheetFormatPr defaultColWidth="8.88888888888889" defaultRowHeight="14.4"/>
  <cols>
    <col min="1" max="1" width="15.6944444444444" customWidth="1"/>
    <col min="2" max="4" width="3.77777777777778" customWidth="1"/>
    <col min="5" max="5" width="6.25" customWidth="1"/>
    <col min="6" max="6" width="9.00925925925926" customWidth="1"/>
    <col min="7" max="7" width="15.9722222222222" customWidth="1"/>
    <col min="8" max="11" width="9.30555555555556" customWidth="1"/>
    <col min="12" max="12" width="10.4444444444444" hidden="1" customWidth="1"/>
    <col min="13" max="13" width="37.0833333333333" customWidth="1"/>
  </cols>
  <sheetData>
    <row r="1" spans="1:1">
      <c r="A1" s="3" t="s">
        <v>581</v>
      </c>
    </row>
    <row r="2" ht="20.4" spans="1:13">
      <c r="A2" s="236" t="s">
        <v>582</v>
      </c>
      <c r="B2" s="236"/>
      <c r="C2" s="236"/>
      <c r="D2" s="236"/>
      <c r="E2" s="236"/>
      <c r="F2" s="236"/>
      <c r="G2" s="236"/>
      <c r="H2" s="236"/>
      <c r="I2" s="236"/>
      <c r="J2" s="236"/>
      <c r="K2" s="236"/>
      <c r="L2" s="236"/>
      <c r="M2" s="236"/>
    </row>
    <row r="3" ht="15.6" spans="1:13">
      <c r="A3" s="237"/>
      <c r="B3" s="59"/>
      <c r="C3" s="59"/>
      <c r="D3" s="59"/>
      <c r="E3" s="64"/>
      <c r="F3" s="238"/>
      <c r="G3" s="65"/>
      <c r="H3" s="66"/>
      <c r="I3" s="259"/>
      <c r="J3" s="66"/>
      <c r="K3" s="259"/>
      <c r="L3" s="259"/>
      <c r="M3" s="260" t="s">
        <v>113</v>
      </c>
    </row>
    <row r="4" spans="1:13">
      <c r="A4" s="239" t="s">
        <v>114</v>
      </c>
      <c r="B4" s="240" t="s">
        <v>115</v>
      </c>
      <c r="C4" s="241" t="s">
        <v>116</v>
      </c>
      <c r="D4" s="240" t="s">
        <v>117</v>
      </c>
      <c r="E4" s="241" t="s">
        <v>118</v>
      </c>
      <c r="F4" s="242" t="s">
        <v>119</v>
      </c>
      <c r="G4" s="242" t="s">
        <v>120</v>
      </c>
      <c r="H4" s="243"/>
      <c r="I4" s="261"/>
      <c r="J4" s="243"/>
      <c r="K4" s="243"/>
      <c r="L4" s="262" t="s">
        <v>123</v>
      </c>
      <c r="M4" s="241" t="s">
        <v>124</v>
      </c>
    </row>
    <row r="5" spans="1:13">
      <c r="A5" s="244"/>
      <c r="B5" s="245"/>
      <c r="C5" s="246"/>
      <c r="D5" s="245"/>
      <c r="E5" s="246"/>
      <c r="F5" s="247"/>
      <c r="G5" s="247"/>
      <c r="H5" s="241" t="s">
        <v>126</v>
      </c>
      <c r="I5" s="246"/>
      <c r="J5" s="246"/>
      <c r="K5" s="246"/>
      <c r="L5" s="247"/>
      <c r="M5" s="226"/>
    </row>
    <row r="6" ht="19.2" spans="1:13">
      <c r="A6" s="248"/>
      <c r="B6" s="245"/>
      <c r="C6" s="246"/>
      <c r="D6" s="245"/>
      <c r="E6" s="246"/>
      <c r="F6" s="249"/>
      <c r="G6" s="249"/>
      <c r="H6" s="241" t="s">
        <v>127</v>
      </c>
      <c r="I6" s="263" t="s">
        <v>128</v>
      </c>
      <c r="J6" s="264" t="s">
        <v>129</v>
      </c>
      <c r="K6" s="241" t="s">
        <v>130</v>
      </c>
      <c r="L6" s="265"/>
      <c r="M6" s="226"/>
    </row>
    <row r="7" spans="1:13">
      <c r="A7" s="250" t="s">
        <v>131</v>
      </c>
      <c r="B7" s="251"/>
      <c r="C7" s="251"/>
      <c r="D7" s="251"/>
      <c r="E7" s="251"/>
      <c r="F7" s="251"/>
      <c r="G7" s="251"/>
      <c r="H7" s="76">
        <f t="shared" ref="H7:H71" si="0">I7+J7+K7</f>
        <v>122589.4</v>
      </c>
      <c r="I7" s="76">
        <f t="shared" ref="I7:K7" si="1">SUM(I8:I426)/2</f>
        <v>110915.46</v>
      </c>
      <c r="J7" s="76">
        <f t="shared" si="1"/>
        <v>5071.18</v>
      </c>
      <c r="K7" s="76">
        <f t="shared" si="1"/>
        <v>6602.76</v>
      </c>
      <c r="L7" s="266">
        <f>SUM(L9:L426)</f>
        <v>85859.74</v>
      </c>
      <c r="M7" s="80"/>
    </row>
    <row r="8" spans="1:13">
      <c r="A8" s="252" t="s">
        <v>132</v>
      </c>
      <c r="B8" s="251"/>
      <c r="C8" s="251"/>
      <c r="D8" s="251"/>
      <c r="E8" s="251"/>
      <c r="F8" s="251"/>
      <c r="G8" s="251"/>
      <c r="H8" s="76">
        <f t="shared" ref="H8:K8" si="2">SUM(H9:H149)</f>
        <v>49134.79</v>
      </c>
      <c r="I8" s="76">
        <f t="shared" si="2"/>
        <v>40195.17</v>
      </c>
      <c r="J8" s="76">
        <f t="shared" si="2"/>
        <v>2336.86</v>
      </c>
      <c r="K8" s="76">
        <f t="shared" si="2"/>
        <v>6602.76</v>
      </c>
      <c r="L8" s="266"/>
      <c r="M8" s="80"/>
    </row>
    <row r="9" ht="60" spans="1:13">
      <c r="A9" s="252" t="s">
        <v>132</v>
      </c>
      <c r="B9" s="73" t="s">
        <v>133</v>
      </c>
      <c r="C9" s="253">
        <v>99</v>
      </c>
      <c r="D9" s="253">
        <v>99</v>
      </c>
      <c r="E9" s="74" t="s">
        <v>134</v>
      </c>
      <c r="F9" s="254" t="s">
        <v>135</v>
      </c>
      <c r="G9" s="75" t="s">
        <v>136</v>
      </c>
      <c r="H9" s="76">
        <f t="shared" si="0"/>
        <v>2500</v>
      </c>
      <c r="I9" s="76">
        <v>2500</v>
      </c>
      <c r="J9" s="76"/>
      <c r="K9" s="76"/>
      <c r="L9" s="266">
        <v>2500</v>
      </c>
      <c r="M9" s="79" t="s">
        <v>137</v>
      </c>
    </row>
    <row r="10" ht="36" spans="1:13">
      <c r="A10" s="252" t="s">
        <v>132</v>
      </c>
      <c r="B10" s="253">
        <v>212</v>
      </c>
      <c r="C10" s="253">
        <v>99</v>
      </c>
      <c r="D10" s="253">
        <v>99</v>
      </c>
      <c r="E10" s="74" t="s">
        <v>138</v>
      </c>
      <c r="F10" s="254" t="s">
        <v>135</v>
      </c>
      <c r="G10" s="255" t="s">
        <v>139</v>
      </c>
      <c r="H10" s="76">
        <f t="shared" si="0"/>
        <v>3235</v>
      </c>
      <c r="I10" s="76">
        <v>3235</v>
      </c>
      <c r="J10" s="76"/>
      <c r="K10" s="76"/>
      <c r="L10" s="266">
        <v>3345</v>
      </c>
      <c r="M10" s="267" t="s">
        <v>140</v>
      </c>
    </row>
    <row r="11" ht="62.4" spans="1:13">
      <c r="A11" s="252" t="s">
        <v>132</v>
      </c>
      <c r="B11" s="253">
        <v>213</v>
      </c>
      <c r="C11" s="253" t="s">
        <v>141</v>
      </c>
      <c r="D11" s="253" t="s">
        <v>142</v>
      </c>
      <c r="E11" s="74" t="s">
        <v>138</v>
      </c>
      <c r="F11" s="254" t="s">
        <v>135</v>
      </c>
      <c r="G11" s="255" t="s">
        <v>143</v>
      </c>
      <c r="H11" s="76">
        <f t="shared" si="0"/>
        <v>1200</v>
      </c>
      <c r="I11" s="76">
        <v>1200</v>
      </c>
      <c r="J11" s="76"/>
      <c r="K11" s="76"/>
      <c r="L11" s="266">
        <v>1115</v>
      </c>
      <c r="M11" s="267" t="s">
        <v>144</v>
      </c>
    </row>
    <row r="12" ht="36" spans="1:13">
      <c r="A12" s="252" t="s">
        <v>132</v>
      </c>
      <c r="B12" s="73" t="s">
        <v>133</v>
      </c>
      <c r="C12" s="253" t="s">
        <v>145</v>
      </c>
      <c r="D12" s="253">
        <v>99</v>
      </c>
      <c r="E12" s="74" t="s">
        <v>138</v>
      </c>
      <c r="F12" s="254" t="s">
        <v>135</v>
      </c>
      <c r="G12" s="75" t="s">
        <v>146</v>
      </c>
      <c r="H12" s="76">
        <f t="shared" si="0"/>
        <v>200</v>
      </c>
      <c r="I12" s="76">
        <v>200</v>
      </c>
      <c r="J12" s="76"/>
      <c r="K12" s="76"/>
      <c r="L12" s="268"/>
      <c r="M12" s="79" t="s">
        <v>147</v>
      </c>
    </row>
    <row r="13" ht="64.8" spans="1:13">
      <c r="A13" s="252" t="s">
        <v>132</v>
      </c>
      <c r="B13" s="73" t="s">
        <v>133</v>
      </c>
      <c r="C13" s="73" t="s">
        <v>148</v>
      </c>
      <c r="D13" s="73" t="s">
        <v>149</v>
      </c>
      <c r="E13" s="74" t="s">
        <v>138</v>
      </c>
      <c r="F13" s="241" t="s">
        <v>135</v>
      </c>
      <c r="G13" s="75" t="s">
        <v>150</v>
      </c>
      <c r="H13" s="76">
        <f t="shared" si="0"/>
        <v>101.75</v>
      </c>
      <c r="I13" s="76">
        <v>101.75</v>
      </c>
      <c r="J13" s="76"/>
      <c r="K13" s="76"/>
      <c r="L13" s="266">
        <v>339.61</v>
      </c>
      <c r="M13" s="77" t="s">
        <v>151</v>
      </c>
    </row>
    <row r="14" ht="36" spans="1:13">
      <c r="A14" s="252" t="s">
        <v>132</v>
      </c>
      <c r="B14" s="73" t="s">
        <v>133</v>
      </c>
      <c r="C14" s="73" t="s">
        <v>152</v>
      </c>
      <c r="D14" s="73" t="s">
        <v>149</v>
      </c>
      <c r="E14" s="74" t="s">
        <v>138</v>
      </c>
      <c r="F14" s="241" t="s">
        <v>135</v>
      </c>
      <c r="G14" s="75" t="s">
        <v>153</v>
      </c>
      <c r="H14" s="76">
        <f t="shared" si="0"/>
        <v>20</v>
      </c>
      <c r="I14" s="76">
        <v>20</v>
      </c>
      <c r="J14" s="76"/>
      <c r="K14" s="269"/>
      <c r="L14" s="270"/>
      <c r="M14" s="271" t="s">
        <v>154</v>
      </c>
    </row>
    <row r="15" ht="78" spans="1:13">
      <c r="A15" s="252" t="s">
        <v>132</v>
      </c>
      <c r="B15" s="73" t="s">
        <v>133</v>
      </c>
      <c r="C15" s="73" t="s">
        <v>152</v>
      </c>
      <c r="D15" s="73" t="s">
        <v>149</v>
      </c>
      <c r="E15" s="74" t="s">
        <v>138</v>
      </c>
      <c r="F15" s="241" t="s">
        <v>135</v>
      </c>
      <c r="G15" s="75" t="s">
        <v>155</v>
      </c>
      <c r="H15" s="76">
        <f t="shared" si="0"/>
        <v>144.6</v>
      </c>
      <c r="I15" s="76">
        <v>144.6</v>
      </c>
      <c r="J15" s="76"/>
      <c r="K15" s="76"/>
      <c r="L15" s="266">
        <v>282.6</v>
      </c>
      <c r="M15" s="77" t="s">
        <v>156</v>
      </c>
    </row>
    <row r="16" ht="36" spans="1:13">
      <c r="A16" s="252" t="s">
        <v>132</v>
      </c>
      <c r="B16" s="73" t="s">
        <v>133</v>
      </c>
      <c r="C16" s="73" t="s">
        <v>157</v>
      </c>
      <c r="D16" s="73" t="s">
        <v>158</v>
      </c>
      <c r="E16" s="74" t="s">
        <v>138</v>
      </c>
      <c r="F16" s="256" t="s">
        <v>135</v>
      </c>
      <c r="G16" s="75" t="s">
        <v>159</v>
      </c>
      <c r="H16" s="76">
        <f t="shared" si="0"/>
        <v>60</v>
      </c>
      <c r="I16" s="76">
        <v>60</v>
      </c>
      <c r="J16" s="76"/>
      <c r="K16" s="76"/>
      <c r="L16" s="266">
        <v>90</v>
      </c>
      <c r="M16" s="80" t="s">
        <v>160</v>
      </c>
    </row>
    <row r="17" ht="36" spans="1:13">
      <c r="A17" s="252" t="s">
        <v>132</v>
      </c>
      <c r="B17" s="73" t="s">
        <v>133</v>
      </c>
      <c r="C17" s="73" t="s">
        <v>161</v>
      </c>
      <c r="D17" s="73" t="s">
        <v>149</v>
      </c>
      <c r="E17" s="74" t="s">
        <v>138</v>
      </c>
      <c r="F17" s="241" t="s">
        <v>135</v>
      </c>
      <c r="G17" s="75" t="s">
        <v>162</v>
      </c>
      <c r="H17" s="76">
        <f t="shared" si="0"/>
        <v>23</v>
      </c>
      <c r="I17" s="76">
        <v>23</v>
      </c>
      <c r="J17" s="76"/>
      <c r="K17" s="76"/>
      <c r="L17" s="266">
        <v>38</v>
      </c>
      <c r="M17" s="272" t="s">
        <v>163</v>
      </c>
    </row>
    <row r="18" ht="36" spans="1:13">
      <c r="A18" s="252" t="s">
        <v>132</v>
      </c>
      <c r="B18" s="73" t="s">
        <v>133</v>
      </c>
      <c r="C18" s="73" t="s">
        <v>161</v>
      </c>
      <c r="D18" s="73" t="s">
        <v>149</v>
      </c>
      <c r="E18" s="74" t="s">
        <v>138</v>
      </c>
      <c r="F18" s="241" t="s">
        <v>135</v>
      </c>
      <c r="G18" s="75" t="s">
        <v>164</v>
      </c>
      <c r="H18" s="76">
        <f t="shared" si="0"/>
        <v>20</v>
      </c>
      <c r="I18" s="76">
        <v>20</v>
      </c>
      <c r="J18" s="76"/>
      <c r="K18" s="76"/>
      <c r="L18" s="266">
        <v>28</v>
      </c>
      <c r="M18" s="269"/>
    </row>
    <row r="19" ht="38.4" spans="1:13">
      <c r="A19" s="252" t="s">
        <v>132</v>
      </c>
      <c r="B19" s="73" t="s">
        <v>165</v>
      </c>
      <c r="C19" s="73" t="s">
        <v>149</v>
      </c>
      <c r="D19" s="73" t="s">
        <v>166</v>
      </c>
      <c r="E19" s="74" t="s">
        <v>138</v>
      </c>
      <c r="F19" s="241" t="s">
        <v>135</v>
      </c>
      <c r="G19" s="75" t="s">
        <v>167</v>
      </c>
      <c r="H19" s="76">
        <f t="shared" si="0"/>
        <v>252</v>
      </c>
      <c r="I19" s="273">
        <v>252</v>
      </c>
      <c r="J19" s="76"/>
      <c r="K19" s="76"/>
      <c r="L19" s="266">
        <v>208</v>
      </c>
      <c r="M19" s="274" t="s">
        <v>168</v>
      </c>
    </row>
    <row r="20" ht="36" spans="1:13">
      <c r="A20" s="252" t="s">
        <v>132</v>
      </c>
      <c r="B20" s="73" t="s">
        <v>165</v>
      </c>
      <c r="C20" s="73" t="s">
        <v>149</v>
      </c>
      <c r="D20" s="73" t="s">
        <v>166</v>
      </c>
      <c r="E20" s="74" t="s">
        <v>138</v>
      </c>
      <c r="F20" s="241" t="s">
        <v>135</v>
      </c>
      <c r="G20" s="75" t="s">
        <v>169</v>
      </c>
      <c r="H20" s="76">
        <f t="shared" si="0"/>
        <v>50</v>
      </c>
      <c r="I20" s="273">
        <v>50</v>
      </c>
      <c r="J20" s="76"/>
      <c r="K20" s="76"/>
      <c r="L20" s="266">
        <v>80</v>
      </c>
      <c r="M20" s="275"/>
    </row>
    <row r="21" ht="36" spans="1:13">
      <c r="A21" s="252" t="s">
        <v>132</v>
      </c>
      <c r="B21" s="73" t="s">
        <v>133</v>
      </c>
      <c r="C21" s="73" t="s">
        <v>145</v>
      </c>
      <c r="D21" s="73" t="s">
        <v>149</v>
      </c>
      <c r="E21" s="74" t="s">
        <v>138</v>
      </c>
      <c r="F21" s="241" t="s">
        <v>135</v>
      </c>
      <c r="G21" s="75" t="s">
        <v>170</v>
      </c>
      <c r="H21" s="76">
        <f t="shared" si="0"/>
        <v>170</v>
      </c>
      <c r="I21" s="76">
        <v>170</v>
      </c>
      <c r="J21" s="76"/>
      <c r="K21" s="76"/>
      <c r="L21" s="266">
        <v>200</v>
      </c>
      <c r="M21" s="80"/>
    </row>
    <row r="22" ht="60" spans="1:13">
      <c r="A22" s="252" t="s">
        <v>132</v>
      </c>
      <c r="B22" s="257" t="s">
        <v>165</v>
      </c>
      <c r="C22" s="257" t="s">
        <v>166</v>
      </c>
      <c r="D22" s="257" t="s">
        <v>149</v>
      </c>
      <c r="E22" s="258" t="s">
        <v>138</v>
      </c>
      <c r="F22" s="256" t="s">
        <v>135</v>
      </c>
      <c r="G22" s="75" t="s">
        <v>171</v>
      </c>
      <c r="H22" s="76">
        <f t="shared" si="0"/>
        <v>280</v>
      </c>
      <c r="I22" s="276">
        <v>280</v>
      </c>
      <c r="J22" s="76"/>
      <c r="K22" s="76"/>
      <c r="L22" s="266">
        <v>65</v>
      </c>
      <c r="M22" s="274" t="s">
        <v>172</v>
      </c>
    </row>
    <row r="23" ht="36" spans="1:13">
      <c r="A23" s="252" t="s">
        <v>132</v>
      </c>
      <c r="B23" s="73" t="s">
        <v>133</v>
      </c>
      <c r="C23" s="73" t="s">
        <v>173</v>
      </c>
      <c r="D23" s="73" t="s">
        <v>158</v>
      </c>
      <c r="E23" s="74" t="s">
        <v>138</v>
      </c>
      <c r="F23" s="256" t="s">
        <v>135</v>
      </c>
      <c r="G23" s="75" t="s">
        <v>174</v>
      </c>
      <c r="H23" s="76">
        <f t="shared" si="0"/>
        <v>30</v>
      </c>
      <c r="I23" s="76">
        <v>30</v>
      </c>
      <c r="J23" s="76"/>
      <c r="K23" s="76"/>
      <c r="L23" s="266">
        <v>125</v>
      </c>
      <c r="M23" s="80"/>
    </row>
    <row r="24" ht="36" spans="1:13">
      <c r="A24" s="252" t="s">
        <v>132</v>
      </c>
      <c r="B24" s="73" t="s">
        <v>133</v>
      </c>
      <c r="C24" s="73" t="s">
        <v>175</v>
      </c>
      <c r="D24" s="73" t="s">
        <v>142</v>
      </c>
      <c r="E24" s="74" t="s">
        <v>138</v>
      </c>
      <c r="F24" s="241" t="s">
        <v>135</v>
      </c>
      <c r="G24" s="75" t="s">
        <v>176</v>
      </c>
      <c r="H24" s="76">
        <f t="shared" si="0"/>
        <v>50</v>
      </c>
      <c r="I24" s="76">
        <v>50</v>
      </c>
      <c r="J24" s="76"/>
      <c r="K24" s="76"/>
      <c r="L24" s="266">
        <v>40</v>
      </c>
      <c r="M24" s="80"/>
    </row>
    <row r="25" ht="36" spans="1:13">
      <c r="A25" s="252" t="s">
        <v>132</v>
      </c>
      <c r="B25" s="73" t="s">
        <v>133</v>
      </c>
      <c r="C25" s="243">
        <v>32</v>
      </c>
      <c r="D25" s="73" t="s">
        <v>149</v>
      </c>
      <c r="E25" s="74" t="s">
        <v>138</v>
      </c>
      <c r="F25" s="241" t="s">
        <v>135</v>
      </c>
      <c r="G25" s="75" t="s">
        <v>177</v>
      </c>
      <c r="H25" s="76">
        <f t="shared" si="0"/>
        <v>20</v>
      </c>
      <c r="I25" s="276">
        <v>20</v>
      </c>
      <c r="J25" s="76"/>
      <c r="K25" s="76"/>
      <c r="L25" s="266">
        <v>20</v>
      </c>
      <c r="M25" s="77" t="s">
        <v>178</v>
      </c>
    </row>
    <row r="26" ht="36" spans="1:13">
      <c r="A26" s="252" t="s">
        <v>132</v>
      </c>
      <c r="B26" s="73" t="s">
        <v>133</v>
      </c>
      <c r="C26" s="73" t="s">
        <v>166</v>
      </c>
      <c r="D26" s="73" t="s">
        <v>179</v>
      </c>
      <c r="E26" s="74" t="s">
        <v>138</v>
      </c>
      <c r="F26" s="241" t="s">
        <v>135</v>
      </c>
      <c r="G26" s="75" t="s">
        <v>180</v>
      </c>
      <c r="H26" s="76">
        <f t="shared" si="0"/>
        <v>30</v>
      </c>
      <c r="I26" s="76">
        <v>30</v>
      </c>
      <c r="J26" s="76"/>
      <c r="K26" s="76"/>
      <c r="L26" s="266">
        <v>15</v>
      </c>
      <c r="M26" s="77" t="s">
        <v>181</v>
      </c>
    </row>
    <row r="27" ht="36" spans="1:13">
      <c r="A27" s="252" t="s">
        <v>132</v>
      </c>
      <c r="B27" s="73" t="s">
        <v>133</v>
      </c>
      <c r="C27" s="73" t="s">
        <v>182</v>
      </c>
      <c r="D27" s="73" t="s">
        <v>149</v>
      </c>
      <c r="E27" s="74" t="s">
        <v>138</v>
      </c>
      <c r="F27" s="241" t="s">
        <v>135</v>
      </c>
      <c r="G27" s="75" t="s">
        <v>183</v>
      </c>
      <c r="H27" s="76">
        <f t="shared" si="0"/>
        <v>12.8</v>
      </c>
      <c r="I27" s="76">
        <v>12.8</v>
      </c>
      <c r="J27" s="76"/>
      <c r="K27" s="76"/>
      <c r="L27" s="266">
        <v>16</v>
      </c>
      <c r="M27" s="80"/>
    </row>
    <row r="28" ht="36" spans="1:13">
      <c r="A28" s="252" t="s">
        <v>132</v>
      </c>
      <c r="B28" s="73" t="s">
        <v>133</v>
      </c>
      <c r="C28" s="73" t="s">
        <v>182</v>
      </c>
      <c r="D28" s="73" t="s">
        <v>149</v>
      </c>
      <c r="E28" s="74" t="s">
        <v>138</v>
      </c>
      <c r="F28" s="241" t="s">
        <v>135</v>
      </c>
      <c r="G28" s="75" t="s">
        <v>184</v>
      </c>
      <c r="H28" s="76">
        <f t="shared" si="0"/>
        <v>28</v>
      </c>
      <c r="I28" s="76">
        <v>28</v>
      </c>
      <c r="J28" s="76"/>
      <c r="K28" s="76"/>
      <c r="L28" s="266">
        <v>40</v>
      </c>
      <c r="M28" s="77" t="s">
        <v>185</v>
      </c>
    </row>
    <row r="29" ht="36" spans="1:13">
      <c r="A29" s="252" t="s">
        <v>132</v>
      </c>
      <c r="B29" s="73" t="s">
        <v>133</v>
      </c>
      <c r="C29" s="73" t="s">
        <v>182</v>
      </c>
      <c r="D29" s="73" t="s">
        <v>149</v>
      </c>
      <c r="E29" s="74" t="s">
        <v>138</v>
      </c>
      <c r="F29" s="241" t="s">
        <v>135</v>
      </c>
      <c r="G29" s="75" t="s">
        <v>186</v>
      </c>
      <c r="H29" s="76">
        <f t="shared" si="0"/>
        <v>20</v>
      </c>
      <c r="I29" s="76">
        <v>20</v>
      </c>
      <c r="J29" s="76"/>
      <c r="K29" s="76"/>
      <c r="L29" s="266">
        <v>22</v>
      </c>
      <c r="M29" s="80"/>
    </row>
    <row r="30" ht="36" spans="1:13">
      <c r="A30" s="252" t="s">
        <v>132</v>
      </c>
      <c r="B30" s="73" t="s">
        <v>133</v>
      </c>
      <c r="C30" s="73" t="s">
        <v>158</v>
      </c>
      <c r="D30" s="73" t="s">
        <v>149</v>
      </c>
      <c r="E30" s="74" t="s">
        <v>138</v>
      </c>
      <c r="F30" s="241" t="s">
        <v>135</v>
      </c>
      <c r="G30" s="75" t="s">
        <v>187</v>
      </c>
      <c r="H30" s="76">
        <f t="shared" si="0"/>
        <v>27.6</v>
      </c>
      <c r="I30" s="76">
        <v>27.6</v>
      </c>
      <c r="J30" s="76"/>
      <c r="K30" s="76"/>
      <c r="L30" s="266">
        <v>27.6</v>
      </c>
      <c r="M30" s="77" t="s">
        <v>188</v>
      </c>
    </row>
    <row r="31" ht="36" spans="1:13">
      <c r="A31" s="252" t="s">
        <v>132</v>
      </c>
      <c r="B31" s="73" t="s">
        <v>133</v>
      </c>
      <c r="C31" s="73" t="s">
        <v>158</v>
      </c>
      <c r="D31" s="73" t="s">
        <v>149</v>
      </c>
      <c r="E31" s="74" t="s">
        <v>138</v>
      </c>
      <c r="F31" s="241" t="s">
        <v>135</v>
      </c>
      <c r="G31" s="75" t="s">
        <v>189</v>
      </c>
      <c r="H31" s="76">
        <f t="shared" si="0"/>
        <v>15</v>
      </c>
      <c r="I31" s="76">
        <v>15</v>
      </c>
      <c r="J31" s="76"/>
      <c r="K31" s="76"/>
      <c r="L31" s="266">
        <v>20</v>
      </c>
      <c r="M31" s="80"/>
    </row>
    <row r="32" ht="36" spans="1:13">
      <c r="A32" s="252" t="s">
        <v>132</v>
      </c>
      <c r="B32" s="73" t="s">
        <v>133</v>
      </c>
      <c r="C32" s="73" t="s">
        <v>158</v>
      </c>
      <c r="D32" s="73" t="s">
        <v>149</v>
      </c>
      <c r="E32" s="74" t="s">
        <v>138</v>
      </c>
      <c r="F32" s="241" t="s">
        <v>135</v>
      </c>
      <c r="G32" s="83" t="s">
        <v>190</v>
      </c>
      <c r="H32" s="76">
        <f t="shared" si="0"/>
        <v>30</v>
      </c>
      <c r="I32" s="76">
        <v>30</v>
      </c>
      <c r="J32" s="76"/>
      <c r="K32" s="76"/>
      <c r="L32" s="266">
        <v>50</v>
      </c>
      <c r="M32" s="77" t="s">
        <v>191</v>
      </c>
    </row>
    <row r="33" ht="36" spans="1:13">
      <c r="A33" s="252" t="s">
        <v>132</v>
      </c>
      <c r="B33" s="73" t="s">
        <v>133</v>
      </c>
      <c r="C33" s="73" t="s">
        <v>158</v>
      </c>
      <c r="D33" s="73" t="s">
        <v>149</v>
      </c>
      <c r="E33" s="74" t="s">
        <v>138</v>
      </c>
      <c r="F33" s="241" t="s">
        <v>135</v>
      </c>
      <c r="G33" s="83" t="s">
        <v>192</v>
      </c>
      <c r="H33" s="76">
        <f t="shared" si="0"/>
        <v>100</v>
      </c>
      <c r="I33" s="76">
        <v>100</v>
      </c>
      <c r="J33" s="76"/>
      <c r="K33" s="76"/>
      <c r="L33" s="266"/>
      <c r="M33" s="77"/>
    </row>
    <row r="34" ht="36" spans="1:13">
      <c r="A34" s="252" t="s">
        <v>132</v>
      </c>
      <c r="B34" s="73" t="s">
        <v>133</v>
      </c>
      <c r="C34" s="73" t="s">
        <v>145</v>
      </c>
      <c r="D34" s="73" t="s">
        <v>149</v>
      </c>
      <c r="E34" s="74" t="s">
        <v>138</v>
      </c>
      <c r="F34" s="241" t="s">
        <v>135</v>
      </c>
      <c r="G34" s="83" t="s">
        <v>193</v>
      </c>
      <c r="H34" s="76">
        <f t="shared" si="0"/>
        <v>20</v>
      </c>
      <c r="I34" s="76">
        <v>20</v>
      </c>
      <c r="J34" s="76"/>
      <c r="K34" s="76"/>
      <c r="L34" s="266"/>
      <c r="M34" s="77"/>
    </row>
    <row r="35" ht="36" spans="1:13">
      <c r="A35" s="252" t="s">
        <v>132</v>
      </c>
      <c r="B35" s="73" t="s">
        <v>194</v>
      </c>
      <c r="C35" s="73" t="s">
        <v>149</v>
      </c>
      <c r="D35" s="73" t="s">
        <v>149</v>
      </c>
      <c r="E35" s="74" t="s">
        <v>138</v>
      </c>
      <c r="F35" s="241" t="s">
        <v>135</v>
      </c>
      <c r="G35" s="75" t="s">
        <v>195</v>
      </c>
      <c r="H35" s="76">
        <f t="shared" si="0"/>
        <v>300</v>
      </c>
      <c r="I35" s="76">
        <v>300</v>
      </c>
      <c r="J35" s="76"/>
      <c r="K35" s="76"/>
      <c r="L35" s="266">
        <v>320</v>
      </c>
      <c r="M35" s="79" t="s">
        <v>196</v>
      </c>
    </row>
    <row r="36" ht="36" spans="1:13">
      <c r="A36" s="252" t="s">
        <v>132</v>
      </c>
      <c r="B36" s="73" t="s">
        <v>133</v>
      </c>
      <c r="C36" s="73" t="s">
        <v>148</v>
      </c>
      <c r="D36" s="73" t="s">
        <v>149</v>
      </c>
      <c r="E36" s="74" t="s">
        <v>138</v>
      </c>
      <c r="F36" s="241" t="s">
        <v>135</v>
      </c>
      <c r="G36" s="75" t="s">
        <v>197</v>
      </c>
      <c r="H36" s="76">
        <f t="shared" si="0"/>
        <v>200</v>
      </c>
      <c r="I36" s="76">
        <v>200</v>
      </c>
      <c r="J36" s="76"/>
      <c r="K36" s="76"/>
      <c r="L36" s="266">
        <v>375.65</v>
      </c>
      <c r="M36" s="77" t="s">
        <v>198</v>
      </c>
    </row>
    <row r="37" ht="36" spans="1:13">
      <c r="A37" s="252" t="s">
        <v>132</v>
      </c>
      <c r="B37" s="73" t="s">
        <v>133</v>
      </c>
      <c r="C37" s="73" t="s">
        <v>179</v>
      </c>
      <c r="D37" s="73" t="s">
        <v>149</v>
      </c>
      <c r="E37" s="74" t="s">
        <v>138</v>
      </c>
      <c r="F37" s="241" t="s">
        <v>135</v>
      </c>
      <c r="G37" s="75" t="s">
        <v>199</v>
      </c>
      <c r="H37" s="76">
        <f t="shared" si="0"/>
        <v>800</v>
      </c>
      <c r="I37" s="76">
        <v>800</v>
      </c>
      <c r="J37" s="76"/>
      <c r="K37" s="76"/>
      <c r="L37" s="266">
        <v>2800</v>
      </c>
      <c r="M37" s="77" t="s">
        <v>200</v>
      </c>
    </row>
    <row r="38" ht="36" spans="1:13">
      <c r="A38" s="252" t="s">
        <v>132</v>
      </c>
      <c r="B38" s="73" t="s">
        <v>133</v>
      </c>
      <c r="C38" s="73" t="s">
        <v>201</v>
      </c>
      <c r="D38" s="73" t="s">
        <v>202</v>
      </c>
      <c r="E38" s="74" t="s">
        <v>138</v>
      </c>
      <c r="F38" s="241" t="s">
        <v>135</v>
      </c>
      <c r="G38" s="75" t="s">
        <v>203</v>
      </c>
      <c r="H38" s="76">
        <f t="shared" si="0"/>
        <v>545</v>
      </c>
      <c r="I38" s="76">
        <v>545</v>
      </c>
      <c r="J38" s="76"/>
      <c r="K38" s="76"/>
      <c r="L38" s="266">
        <v>545</v>
      </c>
      <c r="M38" s="77" t="s">
        <v>204</v>
      </c>
    </row>
    <row r="39" ht="36" spans="1:13">
      <c r="A39" s="252" t="s">
        <v>132</v>
      </c>
      <c r="B39" s="73" t="s">
        <v>194</v>
      </c>
      <c r="C39" s="73" t="s">
        <v>166</v>
      </c>
      <c r="D39" s="73" t="s">
        <v>166</v>
      </c>
      <c r="E39" s="74" t="s">
        <v>138</v>
      </c>
      <c r="F39" s="241" t="s">
        <v>135</v>
      </c>
      <c r="G39" s="75" t="s">
        <v>205</v>
      </c>
      <c r="H39" s="76">
        <f t="shared" si="0"/>
        <v>34.96</v>
      </c>
      <c r="I39" s="76">
        <v>34.96</v>
      </c>
      <c r="J39" s="76"/>
      <c r="K39" s="76"/>
      <c r="L39" s="266">
        <v>34.96</v>
      </c>
      <c r="M39" s="79" t="s">
        <v>206</v>
      </c>
    </row>
    <row r="40" ht="36" spans="1:13">
      <c r="A40" s="252" t="s">
        <v>132</v>
      </c>
      <c r="B40" s="73" t="s">
        <v>207</v>
      </c>
      <c r="C40" s="73" t="s">
        <v>166</v>
      </c>
      <c r="D40" s="73" t="s">
        <v>179</v>
      </c>
      <c r="E40" s="74" t="s">
        <v>138</v>
      </c>
      <c r="F40" s="241" t="s">
        <v>135</v>
      </c>
      <c r="G40" s="75" t="s">
        <v>208</v>
      </c>
      <c r="H40" s="76">
        <f t="shared" si="0"/>
        <v>70</v>
      </c>
      <c r="I40" s="277">
        <v>70</v>
      </c>
      <c r="J40" s="76"/>
      <c r="K40" s="76"/>
      <c r="L40" s="266">
        <v>129.6</v>
      </c>
      <c r="M40" s="77" t="s">
        <v>209</v>
      </c>
    </row>
    <row r="41" ht="36" spans="1:13">
      <c r="A41" s="252" t="s">
        <v>132</v>
      </c>
      <c r="B41" s="73" t="s">
        <v>133</v>
      </c>
      <c r="C41" s="73" t="s">
        <v>145</v>
      </c>
      <c r="D41" s="73" t="s">
        <v>166</v>
      </c>
      <c r="E41" s="74" t="s">
        <v>138</v>
      </c>
      <c r="F41" s="241" t="s">
        <v>210</v>
      </c>
      <c r="G41" s="75" t="s">
        <v>211</v>
      </c>
      <c r="H41" s="76">
        <f t="shared" si="0"/>
        <v>33</v>
      </c>
      <c r="I41" s="76">
        <v>33</v>
      </c>
      <c r="J41" s="76"/>
      <c r="K41" s="76"/>
      <c r="L41" s="266">
        <v>55</v>
      </c>
      <c r="M41" s="79" t="s">
        <v>212</v>
      </c>
    </row>
    <row r="42" ht="36" spans="1:13">
      <c r="A42" s="252" t="s">
        <v>132</v>
      </c>
      <c r="B42" s="73" t="s">
        <v>133</v>
      </c>
      <c r="C42" s="73" t="s">
        <v>145</v>
      </c>
      <c r="D42" s="73" t="s">
        <v>166</v>
      </c>
      <c r="E42" s="74" t="s">
        <v>138</v>
      </c>
      <c r="F42" s="241" t="s">
        <v>210</v>
      </c>
      <c r="G42" s="75" t="s">
        <v>213</v>
      </c>
      <c r="H42" s="76">
        <f t="shared" si="0"/>
        <v>60</v>
      </c>
      <c r="I42" s="76">
        <v>60</v>
      </c>
      <c r="J42" s="76"/>
      <c r="K42" s="76"/>
      <c r="L42" s="266">
        <v>68.6</v>
      </c>
      <c r="M42" s="79" t="s">
        <v>214</v>
      </c>
    </row>
    <row r="43" ht="38.4" spans="1:13">
      <c r="A43" s="252" t="s">
        <v>132</v>
      </c>
      <c r="B43" s="73" t="s">
        <v>133</v>
      </c>
      <c r="C43" s="73" t="s">
        <v>145</v>
      </c>
      <c r="D43" s="73" t="s">
        <v>149</v>
      </c>
      <c r="E43" s="74" t="s">
        <v>138</v>
      </c>
      <c r="F43" s="241" t="s">
        <v>135</v>
      </c>
      <c r="G43" s="75" t="s">
        <v>215</v>
      </c>
      <c r="H43" s="76">
        <f t="shared" si="0"/>
        <v>137</v>
      </c>
      <c r="I43" s="76">
        <v>137</v>
      </c>
      <c r="J43" s="76"/>
      <c r="K43" s="76"/>
      <c r="L43" s="266">
        <v>168</v>
      </c>
      <c r="M43" s="77" t="s">
        <v>216</v>
      </c>
    </row>
    <row r="44" ht="36" spans="1:13">
      <c r="A44" s="252" t="s">
        <v>132</v>
      </c>
      <c r="B44" s="73" t="s">
        <v>133</v>
      </c>
      <c r="C44" s="73" t="s">
        <v>202</v>
      </c>
      <c r="D44" s="73" t="s">
        <v>149</v>
      </c>
      <c r="E44" s="74" t="s">
        <v>138</v>
      </c>
      <c r="F44" s="241" t="s">
        <v>135</v>
      </c>
      <c r="G44" s="75" t="s">
        <v>217</v>
      </c>
      <c r="H44" s="76">
        <f t="shared" si="0"/>
        <v>58.86</v>
      </c>
      <c r="I44" s="76">
        <v>58.86</v>
      </c>
      <c r="J44" s="76"/>
      <c r="K44" s="76"/>
      <c r="L44" s="266">
        <v>58.86</v>
      </c>
      <c r="M44" s="77" t="s">
        <v>188</v>
      </c>
    </row>
    <row r="45" ht="36" spans="1:13">
      <c r="A45" s="252" t="s">
        <v>132</v>
      </c>
      <c r="B45" s="73" t="s">
        <v>133</v>
      </c>
      <c r="C45" s="73" t="s">
        <v>142</v>
      </c>
      <c r="D45" s="73" t="s">
        <v>142</v>
      </c>
      <c r="E45" s="74" t="s">
        <v>138</v>
      </c>
      <c r="F45" s="241" t="s">
        <v>135</v>
      </c>
      <c r="G45" s="75" t="s">
        <v>218</v>
      </c>
      <c r="H45" s="76">
        <f t="shared" si="0"/>
        <v>130</v>
      </c>
      <c r="I45" s="76">
        <v>130</v>
      </c>
      <c r="J45" s="76"/>
      <c r="K45" s="76"/>
      <c r="L45" s="266">
        <v>152.9</v>
      </c>
      <c r="M45" s="79" t="s">
        <v>219</v>
      </c>
    </row>
    <row r="46" ht="36" spans="1:13">
      <c r="A46" s="252" t="s">
        <v>132</v>
      </c>
      <c r="B46" s="73" t="s">
        <v>133</v>
      </c>
      <c r="C46" s="73" t="s">
        <v>142</v>
      </c>
      <c r="D46" s="73" t="s">
        <v>141</v>
      </c>
      <c r="E46" s="74" t="s">
        <v>138</v>
      </c>
      <c r="F46" s="241" t="s">
        <v>135</v>
      </c>
      <c r="G46" s="75" t="s">
        <v>220</v>
      </c>
      <c r="H46" s="76">
        <f t="shared" si="0"/>
        <v>90</v>
      </c>
      <c r="I46" s="76">
        <v>90</v>
      </c>
      <c r="J46" s="76"/>
      <c r="K46" s="76"/>
      <c r="L46" s="266">
        <v>134.14</v>
      </c>
      <c r="M46" s="80"/>
    </row>
    <row r="47" ht="36" spans="1:13">
      <c r="A47" s="252" t="s">
        <v>132</v>
      </c>
      <c r="B47" s="73" t="s">
        <v>133</v>
      </c>
      <c r="C47" s="73" t="s">
        <v>179</v>
      </c>
      <c r="D47" s="73" t="s">
        <v>141</v>
      </c>
      <c r="E47" s="74" t="s">
        <v>138</v>
      </c>
      <c r="F47" s="241" t="s">
        <v>135</v>
      </c>
      <c r="G47" s="75" t="s">
        <v>221</v>
      </c>
      <c r="H47" s="76">
        <f t="shared" si="0"/>
        <v>100</v>
      </c>
      <c r="I47" s="76">
        <v>100</v>
      </c>
      <c r="J47" s="76"/>
      <c r="K47" s="76"/>
      <c r="L47" s="266">
        <v>100</v>
      </c>
      <c r="M47" s="77" t="s">
        <v>222</v>
      </c>
    </row>
    <row r="48" ht="36" spans="1:13">
      <c r="A48" s="252" t="s">
        <v>132</v>
      </c>
      <c r="B48" s="73" t="s">
        <v>133</v>
      </c>
      <c r="C48" s="73" t="s">
        <v>141</v>
      </c>
      <c r="D48" s="73" t="s">
        <v>149</v>
      </c>
      <c r="E48" s="74" t="s">
        <v>138</v>
      </c>
      <c r="F48" s="241" t="s">
        <v>135</v>
      </c>
      <c r="G48" s="75" t="s">
        <v>223</v>
      </c>
      <c r="H48" s="76">
        <f t="shared" si="0"/>
        <v>2800</v>
      </c>
      <c r="I48" s="76">
        <v>2800</v>
      </c>
      <c r="J48" s="76"/>
      <c r="K48" s="76"/>
      <c r="L48" s="266">
        <v>3200</v>
      </c>
      <c r="M48" s="80"/>
    </row>
    <row r="49" ht="36" spans="1:13">
      <c r="A49" s="252" t="s">
        <v>132</v>
      </c>
      <c r="B49" s="73" t="s">
        <v>224</v>
      </c>
      <c r="C49" s="73" t="s">
        <v>225</v>
      </c>
      <c r="D49" s="73" t="s">
        <v>149</v>
      </c>
      <c r="E49" s="74" t="s">
        <v>138</v>
      </c>
      <c r="F49" s="241" t="s">
        <v>135</v>
      </c>
      <c r="G49" s="75" t="s">
        <v>226</v>
      </c>
      <c r="H49" s="76">
        <f t="shared" si="0"/>
        <v>60</v>
      </c>
      <c r="I49" s="76">
        <v>60</v>
      </c>
      <c r="J49" s="76"/>
      <c r="K49" s="76"/>
      <c r="L49" s="266">
        <v>30</v>
      </c>
      <c r="M49" s="80"/>
    </row>
    <row r="50" ht="36" spans="1:13">
      <c r="A50" s="252" t="s">
        <v>132</v>
      </c>
      <c r="B50" s="73" t="s">
        <v>133</v>
      </c>
      <c r="C50" s="73" t="s">
        <v>202</v>
      </c>
      <c r="D50" s="73" t="s">
        <v>158</v>
      </c>
      <c r="E50" s="74" t="s">
        <v>138</v>
      </c>
      <c r="F50" s="241" t="s">
        <v>135</v>
      </c>
      <c r="G50" s="75" t="s">
        <v>227</v>
      </c>
      <c r="H50" s="76">
        <f t="shared" si="0"/>
        <v>492.2</v>
      </c>
      <c r="I50" s="76">
        <v>342.2</v>
      </c>
      <c r="J50" s="76">
        <v>150</v>
      </c>
      <c r="K50" s="76"/>
      <c r="L50" s="266">
        <v>342.2</v>
      </c>
      <c r="M50" s="77" t="s">
        <v>228</v>
      </c>
    </row>
    <row r="51" ht="37.2" spans="1:13">
      <c r="A51" s="252" t="s">
        <v>132</v>
      </c>
      <c r="B51" s="73" t="s">
        <v>165</v>
      </c>
      <c r="C51" s="73" t="s">
        <v>179</v>
      </c>
      <c r="D51" s="73" t="s">
        <v>149</v>
      </c>
      <c r="E51" s="74" t="s">
        <v>138</v>
      </c>
      <c r="F51" s="241" t="s">
        <v>135</v>
      </c>
      <c r="G51" s="75" t="s">
        <v>229</v>
      </c>
      <c r="H51" s="76">
        <f t="shared" si="0"/>
        <v>85</v>
      </c>
      <c r="I51" s="76">
        <v>85</v>
      </c>
      <c r="J51" s="76"/>
      <c r="K51" s="76"/>
      <c r="L51" s="266">
        <v>102.78</v>
      </c>
      <c r="M51" s="77" t="s">
        <v>230</v>
      </c>
    </row>
    <row r="52" ht="36" spans="1:13">
      <c r="A52" s="252" t="s">
        <v>132</v>
      </c>
      <c r="B52" s="73" t="s">
        <v>224</v>
      </c>
      <c r="C52" s="73" t="s">
        <v>225</v>
      </c>
      <c r="D52" s="73" t="s">
        <v>149</v>
      </c>
      <c r="E52" s="74" t="s">
        <v>138</v>
      </c>
      <c r="F52" s="241" t="s">
        <v>135</v>
      </c>
      <c r="G52" s="75" t="s">
        <v>231</v>
      </c>
      <c r="H52" s="76">
        <f t="shared" si="0"/>
        <v>15</v>
      </c>
      <c r="I52" s="76">
        <v>15</v>
      </c>
      <c r="J52" s="76"/>
      <c r="K52" s="76"/>
      <c r="L52" s="266">
        <v>20</v>
      </c>
      <c r="M52" s="80"/>
    </row>
    <row r="53" ht="118.8" spans="1:13">
      <c r="A53" s="252" t="s">
        <v>132</v>
      </c>
      <c r="B53" s="73" t="s">
        <v>232</v>
      </c>
      <c r="C53" s="73" t="s">
        <v>225</v>
      </c>
      <c r="D53" s="73" t="s">
        <v>149</v>
      </c>
      <c r="E53" s="74" t="s">
        <v>138</v>
      </c>
      <c r="F53" s="241" t="s">
        <v>135</v>
      </c>
      <c r="G53" s="75" t="s">
        <v>233</v>
      </c>
      <c r="H53" s="76">
        <f t="shared" si="0"/>
        <v>2150.9</v>
      </c>
      <c r="I53" s="76">
        <v>1568.4</v>
      </c>
      <c r="J53" s="76">
        <v>582.5</v>
      </c>
      <c r="K53" s="76"/>
      <c r="L53" s="266">
        <v>4013.04</v>
      </c>
      <c r="M53" s="79" t="s">
        <v>234</v>
      </c>
    </row>
    <row r="54" ht="39.6" spans="1:13">
      <c r="A54" s="252" t="s">
        <v>132</v>
      </c>
      <c r="B54" s="73" t="s">
        <v>232</v>
      </c>
      <c r="C54" s="73" t="s">
        <v>225</v>
      </c>
      <c r="D54" s="73" t="s">
        <v>149</v>
      </c>
      <c r="E54" s="74" t="s">
        <v>138</v>
      </c>
      <c r="F54" s="241" t="s">
        <v>135</v>
      </c>
      <c r="G54" s="75" t="s">
        <v>235</v>
      </c>
      <c r="H54" s="76">
        <f t="shared" si="0"/>
        <v>645.5</v>
      </c>
      <c r="I54" s="76">
        <v>645.5</v>
      </c>
      <c r="J54" s="76"/>
      <c r="K54" s="76"/>
      <c r="L54" s="266">
        <v>510</v>
      </c>
      <c r="M54" s="77" t="s">
        <v>236</v>
      </c>
    </row>
    <row r="55" ht="36" spans="1:13">
      <c r="A55" s="252" t="s">
        <v>132</v>
      </c>
      <c r="B55" s="73" t="s">
        <v>232</v>
      </c>
      <c r="C55" s="73" t="s">
        <v>225</v>
      </c>
      <c r="D55" s="73" t="s">
        <v>149</v>
      </c>
      <c r="E55" s="74" t="s">
        <v>138</v>
      </c>
      <c r="F55" s="241" t="s">
        <v>135</v>
      </c>
      <c r="G55" s="75" t="s">
        <v>237</v>
      </c>
      <c r="H55" s="76">
        <f t="shared" si="0"/>
        <v>1200</v>
      </c>
      <c r="I55" s="76">
        <v>1200</v>
      </c>
      <c r="J55" s="76"/>
      <c r="K55" s="76"/>
      <c r="L55" s="266">
        <v>1157</v>
      </c>
      <c r="M55" s="77" t="s">
        <v>238</v>
      </c>
    </row>
    <row r="56" ht="38.4" spans="1:13">
      <c r="A56" s="252" t="s">
        <v>132</v>
      </c>
      <c r="B56" s="73" t="s">
        <v>232</v>
      </c>
      <c r="C56" s="73" t="s">
        <v>225</v>
      </c>
      <c r="D56" s="73" t="s">
        <v>149</v>
      </c>
      <c r="E56" s="74" t="s">
        <v>138</v>
      </c>
      <c r="F56" s="241" t="s">
        <v>135</v>
      </c>
      <c r="G56" s="75" t="s">
        <v>239</v>
      </c>
      <c r="H56" s="76">
        <f t="shared" si="0"/>
        <v>75.48</v>
      </c>
      <c r="I56" s="76">
        <v>75.48</v>
      </c>
      <c r="J56" s="76"/>
      <c r="K56" s="76"/>
      <c r="L56" s="266">
        <v>335.48</v>
      </c>
      <c r="M56" s="77" t="s">
        <v>240</v>
      </c>
    </row>
    <row r="57" ht="39.6" spans="1:13">
      <c r="A57" s="252" t="s">
        <v>132</v>
      </c>
      <c r="B57" s="73" t="s">
        <v>232</v>
      </c>
      <c r="C57" s="73" t="s">
        <v>225</v>
      </c>
      <c r="D57" s="73" t="s">
        <v>149</v>
      </c>
      <c r="E57" s="74" t="s">
        <v>138</v>
      </c>
      <c r="F57" s="241" t="s">
        <v>135</v>
      </c>
      <c r="G57" s="75" t="s">
        <v>241</v>
      </c>
      <c r="H57" s="76">
        <f t="shared" si="0"/>
        <v>830.74</v>
      </c>
      <c r="I57" s="76">
        <v>830.74</v>
      </c>
      <c r="J57" s="76"/>
      <c r="K57" s="76"/>
      <c r="L57" s="266">
        <v>959.94</v>
      </c>
      <c r="M57" s="77" t="s">
        <v>242</v>
      </c>
    </row>
    <row r="58" ht="36" spans="1:13">
      <c r="A58" s="252" t="s">
        <v>132</v>
      </c>
      <c r="B58" s="73" t="s">
        <v>232</v>
      </c>
      <c r="C58" s="73" t="s">
        <v>225</v>
      </c>
      <c r="D58" s="73" t="s">
        <v>149</v>
      </c>
      <c r="E58" s="74" t="s">
        <v>138</v>
      </c>
      <c r="F58" s="241" t="s">
        <v>135</v>
      </c>
      <c r="G58" s="75" t="s">
        <v>243</v>
      </c>
      <c r="H58" s="76">
        <f t="shared" si="0"/>
        <v>937</v>
      </c>
      <c r="I58" s="76"/>
      <c r="J58" s="76"/>
      <c r="K58" s="76">
        <v>937</v>
      </c>
      <c r="L58" s="266">
        <v>4127.5</v>
      </c>
      <c r="M58" s="77" t="s">
        <v>244</v>
      </c>
    </row>
    <row r="59" ht="36" spans="1:13">
      <c r="A59" s="252" t="s">
        <v>132</v>
      </c>
      <c r="B59" s="73" t="s">
        <v>194</v>
      </c>
      <c r="C59" s="73" t="s">
        <v>141</v>
      </c>
      <c r="D59" s="73" t="s">
        <v>225</v>
      </c>
      <c r="E59" s="74" t="s">
        <v>138</v>
      </c>
      <c r="F59" s="241" t="s">
        <v>135</v>
      </c>
      <c r="G59" s="75" t="s">
        <v>245</v>
      </c>
      <c r="H59" s="76">
        <f t="shared" si="0"/>
        <v>23</v>
      </c>
      <c r="I59" s="76">
        <v>23</v>
      </c>
      <c r="J59" s="76"/>
      <c r="K59" s="76"/>
      <c r="L59" s="266">
        <v>29</v>
      </c>
      <c r="M59" s="77" t="s">
        <v>246</v>
      </c>
    </row>
    <row r="60" ht="36" spans="1:13">
      <c r="A60" s="252" t="s">
        <v>132</v>
      </c>
      <c r="B60" s="73" t="s">
        <v>194</v>
      </c>
      <c r="C60" s="73" t="s">
        <v>149</v>
      </c>
      <c r="D60" s="73" t="s">
        <v>149</v>
      </c>
      <c r="E60" s="74" t="s">
        <v>138</v>
      </c>
      <c r="F60" s="241" t="s">
        <v>135</v>
      </c>
      <c r="G60" s="75" t="s">
        <v>247</v>
      </c>
      <c r="H60" s="76">
        <f t="shared" si="0"/>
        <v>5</v>
      </c>
      <c r="I60" s="276">
        <v>5</v>
      </c>
      <c r="J60" s="76"/>
      <c r="K60" s="76"/>
      <c r="L60" s="266"/>
      <c r="M60" s="278"/>
    </row>
    <row r="61" ht="36" spans="1:13">
      <c r="A61" s="252" t="s">
        <v>132</v>
      </c>
      <c r="B61" s="73" t="s">
        <v>248</v>
      </c>
      <c r="C61" s="73" t="s">
        <v>166</v>
      </c>
      <c r="D61" s="73" t="s">
        <v>202</v>
      </c>
      <c r="E61" s="74" t="s">
        <v>138</v>
      </c>
      <c r="F61" s="241" t="s">
        <v>135</v>
      </c>
      <c r="G61" s="75" t="s">
        <v>249</v>
      </c>
      <c r="H61" s="76">
        <f t="shared" si="0"/>
        <v>30</v>
      </c>
      <c r="I61" s="276">
        <v>30</v>
      </c>
      <c r="J61" s="76"/>
      <c r="K61" s="76"/>
      <c r="L61" s="266">
        <v>10</v>
      </c>
      <c r="M61" s="79" t="s">
        <v>250</v>
      </c>
    </row>
    <row r="62" ht="36" spans="1:13">
      <c r="A62" s="252" t="s">
        <v>132</v>
      </c>
      <c r="B62" s="73" t="s">
        <v>248</v>
      </c>
      <c r="C62" s="73" t="s">
        <v>166</v>
      </c>
      <c r="D62" s="73" t="s">
        <v>149</v>
      </c>
      <c r="E62" s="74" t="s">
        <v>138</v>
      </c>
      <c r="F62" s="241" t="s">
        <v>135</v>
      </c>
      <c r="G62" s="75" t="s">
        <v>251</v>
      </c>
      <c r="H62" s="76">
        <f t="shared" si="0"/>
        <v>20</v>
      </c>
      <c r="I62" s="76">
        <v>20</v>
      </c>
      <c r="J62" s="76"/>
      <c r="K62" s="76"/>
      <c r="L62" s="266">
        <v>36.3</v>
      </c>
      <c r="M62" s="80"/>
    </row>
    <row r="63" ht="36" spans="1:13">
      <c r="A63" s="252" t="s">
        <v>132</v>
      </c>
      <c r="B63" s="73" t="s">
        <v>252</v>
      </c>
      <c r="C63" s="73" t="s">
        <v>179</v>
      </c>
      <c r="D63" s="73" t="s">
        <v>149</v>
      </c>
      <c r="E63" s="74" t="s">
        <v>138</v>
      </c>
      <c r="F63" s="241" t="s">
        <v>135</v>
      </c>
      <c r="G63" s="75" t="s">
        <v>253</v>
      </c>
      <c r="H63" s="76">
        <f t="shared" si="0"/>
        <v>50</v>
      </c>
      <c r="I63" s="76">
        <v>50</v>
      </c>
      <c r="J63" s="76"/>
      <c r="K63" s="76"/>
      <c r="L63" s="266">
        <v>20</v>
      </c>
      <c r="M63" s="80"/>
    </row>
    <row r="64" ht="36" spans="1:13">
      <c r="A64" s="252" t="s">
        <v>132</v>
      </c>
      <c r="B64" s="73" t="s">
        <v>252</v>
      </c>
      <c r="C64" s="73" t="s">
        <v>166</v>
      </c>
      <c r="D64" s="73" t="s">
        <v>166</v>
      </c>
      <c r="E64" s="74" t="s">
        <v>138</v>
      </c>
      <c r="F64" s="241" t="s">
        <v>135</v>
      </c>
      <c r="G64" s="75" t="s">
        <v>254</v>
      </c>
      <c r="H64" s="76">
        <f t="shared" si="0"/>
        <v>46</v>
      </c>
      <c r="I64" s="76">
        <v>40</v>
      </c>
      <c r="J64" s="76">
        <v>6</v>
      </c>
      <c r="K64" s="76"/>
      <c r="L64" s="266">
        <v>24</v>
      </c>
      <c r="M64" s="79" t="s">
        <v>255</v>
      </c>
    </row>
    <row r="65" ht="36" spans="1:13">
      <c r="A65" s="252" t="s">
        <v>132</v>
      </c>
      <c r="B65" s="73" t="s">
        <v>133</v>
      </c>
      <c r="C65" s="73" t="s">
        <v>145</v>
      </c>
      <c r="D65" s="73" t="s">
        <v>202</v>
      </c>
      <c r="E65" s="74" t="s">
        <v>138</v>
      </c>
      <c r="F65" s="241" t="s">
        <v>135</v>
      </c>
      <c r="G65" s="75" t="s">
        <v>256</v>
      </c>
      <c r="H65" s="76">
        <f t="shared" si="0"/>
        <v>90</v>
      </c>
      <c r="I65" s="76">
        <v>90</v>
      </c>
      <c r="J65" s="76"/>
      <c r="K65" s="76"/>
      <c r="L65" s="266">
        <v>90</v>
      </c>
      <c r="M65" s="80"/>
    </row>
    <row r="66" ht="36" spans="1:13">
      <c r="A66" s="252" t="s">
        <v>132</v>
      </c>
      <c r="B66" s="73" t="s">
        <v>133</v>
      </c>
      <c r="C66" s="73" t="s">
        <v>145</v>
      </c>
      <c r="D66" s="73" t="s">
        <v>202</v>
      </c>
      <c r="E66" s="74" t="s">
        <v>138</v>
      </c>
      <c r="F66" s="241" t="s">
        <v>135</v>
      </c>
      <c r="G66" s="75" t="s">
        <v>257</v>
      </c>
      <c r="H66" s="76">
        <f t="shared" si="0"/>
        <v>22.2</v>
      </c>
      <c r="I66" s="76">
        <v>0</v>
      </c>
      <c r="J66" s="76"/>
      <c r="K66" s="76">
        <v>22.2</v>
      </c>
      <c r="L66" s="266"/>
      <c r="M66" s="80"/>
    </row>
    <row r="67" ht="36" spans="1:13">
      <c r="A67" s="252" t="s">
        <v>132</v>
      </c>
      <c r="B67" s="73" t="s">
        <v>133</v>
      </c>
      <c r="C67" s="73" t="s">
        <v>258</v>
      </c>
      <c r="D67" s="73" t="s">
        <v>149</v>
      </c>
      <c r="E67" s="74" t="s">
        <v>138</v>
      </c>
      <c r="F67" s="241" t="s">
        <v>135</v>
      </c>
      <c r="G67" s="75" t="s">
        <v>259</v>
      </c>
      <c r="H67" s="76">
        <f t="shared" si="0"/>
        <v>146.3</v>
      </c>
      <c r="I67" s="76">
        <v>146.3</v>
      </c>
      <c r="J67" s="76"/>
      <c r="K67" s="76"/>
      <c r="L67" s="266">
        <v>146.3</v>
      </c>
      <c r="M67" s="80"/>
    </row>
    <row r="68" ht="36" spans="1:13">
      <c r="A68" s="252" t="s">
        <v>132</v>
      </c>
      <c r="B68" s="73" t="s">
        <v>133</v>
      </c>
      <c r="C68" s="73" t="s">
        <v>258</v>
      </c>
      <c r="D68" s="73" t="s">
        <v>260</v>
      </c>
      <c r="E68" s="74" t="s">
        <v>138</v>
      </c>
      <c r="F68" s="241" t="s">
        <v>135</v>
      </c>
      <c r="G68" s="75" t="s">
        <v>261</v>
      </c>
      <c r="H68" s="76">
        <f t="shared" si="0"/>
        <v>125</v>
      </c>
      <c r="I68" s="76">
        <v>125</v>
      </c>
      <c r="J68" s="76"/>
      <c r="K68" s="76"/>
      <c r="L68" s="266">
        <v>125</v>
      </c>
      <c r="M68" s="80"/>
    </row>
    <row r="69" ht="37.2" spans="1:13">
      <c r="A69" s="252" t="s">
        <v>132</v>
      </c>
      <c r="B69" s="73" t="s">
        <v>262</v>
      </c>
      <c r="C69" s="73" t="s">
        <v>166</v>
      </c>
      <c r="D69" s="73" t="s">
        <v>263</v>
      </c>
      <c r="E69" s="74" t="s">
        <v>138</v>
      </c>
      <c r="F69" s="241" t="s">
        <v>135</v>
      </c>
      <c r="G69" s="75" t="s">
        <v>264</v>
      </c>
      <c r="H69" s="76">
        <f t="shared" si="0"/>
        <v>65.29</v>
      </c>
      <c r="I69" s="279">
        <v>65.29</v>
      </c>
      <c r="J69" s="76"/>
      <c r="K69" s="76"/>
      <c r="L69" s="266">
        <v>50</v>
      </c>
      <c r="M69" s="77" t="s">
        <v>265</v>
      </c>
    </row>
    <row r="70" ht="37.2" spans="1:13">
      <c r="A70" s="252" t="s">
        <v>132</v>
      </c>
      <c r="B70" s="73" t="s">
        <v>262</v>
      </c>
      <c r="C70" s="73" t="s">
        <v>166</v>
      </c>
      <c r="D70" s="73" t="s">
        <v>263</v>
      </c>
      <c r="E70" s="74" t="s">
        <v>138</v>
      </c>
      <c r="F70" s="241" t="s">
        <v>135</v>
      </c>
      <c r="G70" s="75" t="s">
        <v>266</v>
      </c>
      <c r="H70" s="76">
        <f t="shared" si="0"/>
        <v>82</v>
      </c>
      <c r="I70" s="279">
        <v>82</v>
      </c>
      <c r="J70" s="76"/>
      <c r="K70" s="76"/>
      <c r="L70" s="266">
        <v>52</v>
      </c>
      <c r="M70" s="77" t="s">
        <v>267</v>
      </c>
    </row>
    <row r="71" ht="36" spans="1:13">
      <c r="A71" s="252" t="s">
        <v>132</v>
      </c>
      <c r="B71" s="73" t="s">
        <v>262</v>
      </c>
      <c r="C71" s="73" t="s">
        <v>268</v>
      </c>
      <c r="D71" s="73" t="s">
        <v>158</v>
      </c>
      <c r="E71" s="74" t="s">
        <v>138</v>
      </c>
      <c r="F71" s="241" t="s">
        <v>135</v>
      </c>
      <c r="G71" s="75" t="s">
        <v>269</v>
      </c>
      <c r="H71" s="76">
        <f t="shared" si="0"/>
        <v>35</v>
      </c>
      <c r="I71" s="279">
        <v>35</v>
      </c>
      <c r="J71" s="76"/>
      <c r="K71" s="76"/>
      <c r="L71" s="266">
        <v>195</v>
      </c>
      <c r="M71" s="280" t="s">
        <v>270</v>
      </c>
    </row>
    <row r="72" ht="38.4" spans="1:13">
      <c r="A72" s="252" t="s">
        <v>132</v>
      </c>
      <c r="B72" s="73" t="s">
        <v>262</v>
      </c>
      <c r="C72" s="73" t="s">
        <v>263</v>
      </c>
      <c r="D72" s="73" t="s">
        <v>166</v>
      </c>
      <c r="E72" s="74" t="s">
        <v>138</v>
      </c>
      <c r="F72" s="241" t="s">
        <v>135</v>
      </c>
      <c r="G72" s="75" t="s">
        <v>271</v>
      </c>
      <c r="H72" s="76">
        <f t="shared" ref="H72:H135" si="3">I72+J72+K72</f>
        <v>106.1</v>
      </c>
      <c r="I72" s="279">
        <v>100</v>
      </c>
      <c r="J72" s="76"/>
      <c r="K72" s="76">
        <v>6.1</v>
      </c>
      <c r="L72" s="266">
        <v>60</v>
      </c>
      <c r="M72" s="77" t="s">
        <v>272</v>
      </c>
    </row>
    <row r="73" ht="39.6" spans="1:13">
      <c r="A73" s="252" t="s">
        <v>132</v>
      </c>
      <c r="B73" s="73" t="s">
        <v>262</v>
      </c>
      <c r="C73" s="73" t="s">
        <v>202</v>
      </c>
      <c r="D73" s="73" t="s">
        <v>149</v>
      </c>
      <c r="E73" s="74" t="s">
        <v>138</v>
      </c>
      <c r="F73" s="241" t="s">
        <v>135</v>
      </c>
      <c r="G73" s="75" t="s">
        <v>273</v>
      </c>
      <c r="H73" s="76">
        <f t="shared" si="3"/>
        <v>25.9</v>
      </c>
      <c r="I73" s="279">
        <v>25.9</v>
      </c>
      <c r="J73" s="76"/>
      <c r="K73" s="76"/>
      <c r="L73" s="266">
        <v>25.9</v>
      </c>
      <c r="M73" s="77" t="s">
        <v>274</v>
      </c>
    </row>
    <row r="74" ht="66" spans="1:13">
      <c r="A74" s="252" t="s">
        <v>132</v>
      </c>
      <c r="B74" s="73" t="s">
        <v>262</v>
      </c>
      <c r="C74" s="73" t="s">
        <v>202</v>
      </c>
      <c r="D74" s="73" t="s">
        <v>166</v>
      </c>
      <c r="E74" s="74" t="s">
        <v>138</v>
      </c>
      <c r="F74" s="241" t="s">
        <v>135</v>
      </c>
      <c r="G74" s="75" t="s">
        <v>275</v>
      </c>
      <c r="H74" s="76">
        <f t="shared" si="3"/>
        <v>415.19</v>
      </c>
      <c r="I74" s="276">
        <v>410.39</v>
      </c>
      <c r="J74" s="76"/>
      <c r="K74" s="76">
        <v>4.8</v>
      </c>
      <c r="L74" s="266">
        <v>7.46</v>
      </c>
      <c r="M74" s="274" t="s">
        <v>276</v>
      </c>
    </row>
    <row r="75" ht="36" spans="1:13">
      <c r="A75" s="252" t="s">
        <v>132</v>
      </c>
      <c r="B75" s="73" t="s">
        <v>133</v>
      </c>
      <c r="C75" s="73" t="s">
        <v>145</v>
      </c>
      <c r="D75" s="73" t="s">
        <v>202</v>
      </c>
      <c r="E75" s="74" t="s">
        <v>138</v>
      </c>
      <c r="F75" s="241" t="s">
        <v>135</v>
      </c>
      <c r="G75" s="75" t="s">
        <v>277</v>
      </c>
      <c r="H75" s="76">
        <f t="shared" si="3"/>
        <v>18</v>
      </c>
      <c r="I75" s="279">
        <v>18</v>
      </c>
      <c r="J75" s="76"/>
      <c r="K75" s="76"/>
      <c r="L75" s="266">
        <v>30</v>
      </c>
      <c r="M75" s="281" t="s">
        <v>278</v>
      </c>
    </row>
    <row r="76" ht="36" spans="1:13">
      <c r="A76" s="252" t="s">
        <v>132</v>
      </c>
      <c r="B76" s="73" t="s">
        <v>262</v>
      </c>
      <c r="C76" s="73" t="s">
        <v>202</v>
      </c>
      <c r="D76" s="73" t="s">
        <v>149</v>
      </c>
      <c r="E76" s="74" t="s">
        <v>138</v>
      </c>
      <c r="F76" s="241" t="s">
        <v>135</v>
      </c>
      <c r="G76" s="75" t="s">
        <v>279</v>
      </c>
      <c r="H76" s="76">
        <f t="shared" si="3"/>
        <v>560</v>
      </c>
      <c r="I76" s="279">
        <v>560</v>
      </c>
      <c r="J76" s="76"/>
      <c r="K76" s="76"/>
      <c r="L76" s="282">
        <v>391</v>
      </c>
      <c r="M76" s="267"/>
    </row>
    <row r="77" ht="49.2" spans="1:13">
      <c r="A77" s="252" t="s">
        <v>132</v>
      </c>
      <c r="B77" s="73" t="s">
        <v>262</v>
      </c>
      <c r="C77" s="73" t="s">
        <v>157</v>
      </c>
      <c r="D77" s="73" t="s">
        <v>149</v>
      </c>
      <c r="E77" s="74" t="s">
        <v>138</v>
      </c>
      <c r="F77" s="241" t="s">
        <v>135</v>
      </c>
      <c r="G77" s="75" t="s">
        <v>280</v>
      </c>
      <c r="H77" s="76">
        <f t="shared" si="3"/>
        <v>200</v>
      </c>
      <c r="I77" s="283">
        <v>200</v>
      </c>
      <c r="J77" s="76"/>
      <c r="K77" s="76"/>
      <c r="L77" s="266">
        <v>65</v>
      </c>
      <c r="M77" s="79" t="s">
        <v>281</v>
      </c>
    </row>
    <row r="78" ht="39.6" spans="1:13">
      <c r="A78" s="252" t="s">
        <v>132</v>
      </c>
      <c r="B78" s="73" t="s">
        <v>262</v>
      </c>
      <c r="C78" s="73" t="s">
        <v>282</v>
      </c>
      <c r="D78" s="73" t="s">
        <v>225</v>
      </c>
      <c r="E78" s="74" t="s">
        <v>138</v>
      </c>
      <c r="F78" s="241" t="s">
        <v>135</v>
      </c>
      <c r="G78" s="75" t="s">
        <v>283</v>
      </c>
      <c r="H78" s="76">
        <f t="shared" si="3"/>
        <v>302.4</v>
      </c>
      <c r="I78" s="279">
        <v>302.4</v>
      </c>
      <c r="J78" s="76"/>
      <c r="K78" s="76"/>
      <c r="L78" s="266">
        <v>302.4</v>
      </c>
      <c r="M78" s="80" t="s">
        <v>284</v>
      </c>
    </row>
    <row r="79" ht="36" spans="1:13">
      <c r="A79" s="252" t="s">
        <v>132</v>
      </c>
      <c r="B79" s="73" t="s">
        <v>262</v>
      </c>
      <c r="C79" s="73" t="s">
        <v>282</v>
      </c>
      <c r="D79" s="73" t="s">
        <v>225</v>
      </c>
      <c r="E79" s="74" t="s">
        <v>138</v>
      </c>
      <c r="F79" s="241" t="s">
        <v>135</v>
      </c>
      <c r="G79" s="75" t="s">
        <v>285</v>
      </c>
      <c r="H79" s="76">
        <f t="shared" si="3"/>
        <v>130.26</v>
      </c>
      <c r="I79" s="279">
        <v>130.26</v>
      </c>
      <c r="J79" s="76"/>
      <c r="K79" s="76"/>
      <c r="L79" s="266">
        <v>130.26</v>
      </c>
      <c r="M79" s="77" t="s">
        <v>286</v>
      </c>
    </row>
    <row r="80" ht="36" spans="1:13">
      <c r="A80" s="252" t="s">
        <v>132</v>
      </c>
      <c r="B80" s="73" t="s">
        <v>262</v>
      </c>
      <c r="C80" s="73" t="s">
        <v>282</v>
      </c>
      <c r="D80" s="73" t="s">
        <v>225</v>
      </c>
      <c r="E80" s="74" t="s">
        <v>138</v>
      </c>
      <c r="F80" s="241" t="s">
        <v>135</v>
      </c>
      <c r="G80" s="75" t="s">
        <v>287</v>
      </c>
      <c r="H80" s="76">
        <f t="shared" si="3"/>
        <v>500</v>
      </c>
      <c r="I80" s="279">
        <v>500</v>
      </c>
      <c r="J80" s="76"/>
      <c r="K80" s="76"/>
      <c r="L80" s="266">
        <v>500</v>
      </c>
      <c r="M80" s="80" t="s">
        <v>288</v>
      </c>
    </row>
    <row r="81" ht="36" spans="1:13">
      <c r="A81" s="252" t="s">
        <v>132</v>
      </c>
      <c r="B81" s="73" t="s">
        <v>262</v>
      </c>
      <c r="C81" s="73" t="s">
        <v>225</v>
      </c>
      <c r="D81" s="73" t="s">
        <v>149</v>
      </c>
      <c r="E81" s="74" t="s">
        <v>138</v>
      </c>
      <c r="F81" s="241" t="s">
        <v>135</v>
      </c>
      <c r="G81" s="75" t="s">
        <v>289</v>
      </c>
      <c r="H81" s="76">
        <f t="shared" si="3"/>
        <v>5</v>
      </c>
      <c r="I81" s="279">
        <v>5</v>
      </c>
      <c r="J81" s="76"/>
      <c r="K81" s="76"/>
      <c r="L81" s="266">
        <v>55</v>
      </c>
      <c r="M81" s="80"/>
    </row>
    <row r="82" ht="39.6" spans="1:13">
      <c r="A82" s="252" t="s">
        <v>132</v>
      </c>
      <c r="B82" s="73" t="s">
        <v>262</v>
      </c>
      <c r="C82" s="73" t="s">
        <v>290</v>
      </c>
      <c r="D82" s="73" t="s">
        <v>166</v>
      </c>
      <c r="E82" s="74" t="s">
        <v>138</v>
      </c>
      <c r="F82" s="241" t="s">
        <v>135</v>
      </c>
      <c r="G82" s="75" t="s">
        <v>291</v>
      </c>
      <c r="H82" s="76">
        <f t="shared" si="3"/>
        <v>460.5</v>
      </c>
      <c r="I82" s="279">
        <v>460.5</v>
      </c>
      <c r="J82" s="76"/>
      <c r="K82" s="76"/>
      <c r="L82" s="266">
        <v>521</v>
      </c>
      <c r="M82" s="77" t="s">
        <v>292</v>
      </c>
    </row>
    <row r="83" ht="36" spans="1:13">
      <c r="A83" s="252" t="s">
        <v>132</v>
      </c>
      <c r="B83" s="73" t="s">
        <v>262</v>
      </c>
      <c r="C83" s="73" t="s">
        <v>282</v>
      </c>
      <c r="D83" s="73" t="s">
        <v>166</v>
      </c>
      <c r="E83" s="74" t="s">
        <v>138</v>
      </c>
      <c r="F83" s="241" t="s">
        <v>135</v>
      </c>
      <c r="G83" s="75" t="s">
        <v>293</v>
      </c>
      <c r="H83" s="76">
        <f t="shared" si="3"/>
        <v>0</v>
      </c>
      <c r="I83" s="279">
        <v>0</v>
      </c>
      <c r="J83" s="76"/>
      <c r="K83" s="76"/>
      <c r="L83" s="266">
        <v>19.54</v>
      </c>
      <c r="M83" s="80"/>
    </row>
    <row r="84" ht="36" spans="1:13">
      <c r="A84" s="252" t="s">
        <v>132</v>
      </c>
      <c r="B84" s="73" t="s">
        <v>262</v>
      </c>
      <c r="C84" s="73" t="s">
        <v>225</v>
      </c>
      <c r="D84" s="73" t="s">
        <v>149</v>
      </c>
      <c r="E84" s="74" t="s">
        <v>138</v>
      </c>
      <c r="F84" s="241" t="s">
        <v>135</v>
      </c>
      <c r="G84" s="75" t="s">
        <v>294</v>
      </c>
      <c r="H84" s="76">
        <f t="shared" si="3"/>
        <v>10</v>
      </c>
      <c r="I84" s="279">
        <v>10</v>
      </c>
      <c r="J84" s="76"/>
      <c r="K84" s="76"/>
      <c r="L84" s="266">
        <v>10</v>
      </c>
      <c r="M84" s="80"/>
    </row>
    <row r="85" ht="36" spans="1:13">
      <c r="A85" s="252" t="s">
        <v>132</v>
      </c>
      <c r="B85" s="73" t="s">
        <v>262</v>
      </c>
      <c r="C85" s="73" t="s">
        <v>295</v>
      </c>
      <c r="D85" s="73" t="s">
        <v>166</v>
      </c>
      <c r="E85" s="74" t="s">
        <v>138</v>
      </c>
      <c r="F85" s="241" t="s">
        <v>135</v>
      </c>
      <c r="G85" s="75" t="s">
        <v>296</v>
      </c>
      <c r="H85" s="76">
        <f t="shared" si="3"/>
        <v>188</v>
      </c>
      <c r="I85" s="279">
        <v>188</v>
      </c>
      <c r="J85" s="76"/>
      <c r="K85" s="76"/>
      <c r="L85" s="266">
        <v>215</v>
      </c>
      <c r="M85" s="77" t="s">
        <v>297</v>
      </c>
    </row>
    <row r="86" ht="36" spans="1:13">
      <c r="A86" s="252" t="s">
        <v>132</v>
      </c>
      <c r="B86" s="73" t="s">
        <v>262</v>
      </c>
      <c r="C86" s="73" t="s">
        <v>225</v>
      </c>
      <c r="D86" s="73" t="s">
        <v>141</v>
      </c>
      <c r="E86" s="74" t="s">
        <v>138</v>
      </c>
      <c r="F86" s="241" t="s">
        <v>135</v>
      </c>
      <c r="G86" s="75" t="s">
        <v>298</v>
      </c>
      <c r="H86" s="76">
        <f t="shared" si="3"/>
        <v>10</v>
      </c>
      <c r="I86" s="279">
        <v>10</v>
      </c>
      <c r="J86" s="76"/>
      <c r="K86" s="76"/>
      <c r="L86" s="266">
        <v>31</v>
      </c>
      <c r="M86" s="77"/>
    </row>
    <row r="87" ht="64.8" spans="1:13">
      <c r="A87" s="252" t="s">
        <v>132</v>
      </c>
      <c r="B87" s="73" t="s">
        <v>262</v>
      </c>
      <c r="C87" s="73" t="s">
        <v>282</v>
      </c>
      <c r="D87" s="73" t="s">
        <v>225</v>
      </c>
      <c r="E87" s="74" t="s">
        <v>138</v>
      </c>
      <c r="F87" s="241" t="s">
        <v>135</v>
      </c>
      <c r="G87" s="75" t="s">
        <v>299</v>
      </c>
      <c r="H87" s="76">
        <f t="shared" si="3"/>
        <v>71.64</v>
      </c>
      <c r="I87" s="279">
        <v>71.64</v>
      </c>
      <c r="J87" s="76"/>
      <c r="K87" s="76"/>
      <c r="L87" s="266">
        <v>71.64</v>
      </c>
      <c r="M87" s="77" t="s">
        <v>300</v>
      </c>
    </row>
    <row r="88" ht="38.4" spans="1:13">
      <c r="A88" s="252" t="s">
        <v>132</v>
      </c>
      <c r="B88" s="73" t="s">
        <v>262</v>
      </c>
      <c r="C88" s="73" t="s">
        <v>282</v>
      </c>
      <c r="D88" s="73" t="s">
        <v>149</v>
      </c>
      <c r="E88" s="74" t="s">
        <v>138</v>
      </c>
      <c r="F88" s="241" t="s">
        <v>135</v>
      </c>
      <c r="G88" s="75" t="s">
        <v>301</v>
      </c>
      <c r="H88" s="76">
        <f t="shared" si="3"/>
        <v>2.94</v>
      </c>
      <c r="I88" s="279">
        <v>2.94</v>
      </c>
      <c r="J88" s="76"/>
      <c r="K88" s="76"/>
      <c r="L88" s="266">
        <v>2.94</v>
      </c>
      <c r="M88" s="77" t="s">
        <v>302</v>
      </c>
    </row>
    <row r="89" ht="52.8" spans="1:13">
      <c r="A89" s="252" t="s">
        <v>132</v>
      </c>
      <c r="B89" s="73" t="s">
        <v>262</v>
      </c>
      <c r="C89" s="73" t="s">
        <v>157</v>
      </c>
      <c r="D89" s="73" t="s">
        <v>141</v>
      </c>
      <c r="E89" s="74" t="s">
        <v>138</v>
      </c>
      <c r="F89" s="241" t="s">
        <v>135</v>
      </c>
      <c r="G89" s="75" t="s">
        <v>303</v>
      </c>
      <c r="H89" s="76">
        <f t="shared" si="3"/>
        <v>154</v>
      </c>
      <c r="I89" s="279">
        <v>154</v>
      </c>
      <c r="J89" s="76"/>
      <c r="K89" s="76"/>
      <c r="L89" s="266">
        <v>154</v>
      </c>
      <c r="M89" s="79" t="s">
        <v>304</v>
      </c>
    </row>
    <row r="90" ht="36" spans="1:13">
      <c r="A90" s="252" t="s">
        <v>132</v>
      </c>
      <c r="B90" s="73" t="s">
        <v>305</v>
      </c>
      <c r="C90" s="73" t="s">
        <v>306</v>
      </c>
      <c r="D90" s="73" t="s">
        <v>225</v>
      </c>
      <c r="E90" s="74" t="s">
        <v>138</v>
      </c>
      <c r="F90" s="241" t="s">
        <v>135</v>
      </c>
      <c r="G90" s="75" t="s">
        <v>307</v>
      </c>
      <c r="H90" s="76">
        <f t="shared" si="3"/>
        <v>160</v>
      </c>
      <c r="I90" s="279">
        <v>160</v>
      </c>
      <c r="J90" s="76"/>
      <c r="K90" s="76"/>
      <c r="L90" s="266">
        <v>80</v>
      </c>
      <c r="M90" s="79" t="s">
        <v>308</v>
      </c>
    </row>
    <row r="91" ht="36" spans="1:13">
      <c r="A91" s="252" t="s">
        <v>132</v>
      </c>
      <c r="B91" s="73" t="s">
        <v>262</v>
      </c>
      <c r="C91" s="73" t="s">
        <v>166</v>
      </c>
      <c r="D91" s="73" t="s">
        <v>263</v>
      </c>
      <c r="E91" s="74" t="s">
        <v>138</v>
      </c>
      <c r="F91" s="241" t="s">
        <v>135</v>
      </c>
      <c r="G91" s="75" t="s">
        <v>309</v>
      </c>
      <c r="H91" s="76">
        <f t="shared" si="3"/>
        <v>1</v>
      </c>
      <c r="I91" s="279">
        <v>1</v>
      </c>
      <c r="J91" s="76"/>
      <c r="K91" s="76"/>
      <c r="L91" s="266">
        <v>1</v>
      </c>
      <c r="M91" s="79" t="s">
        <v>286</v>
      </c>
    </row>
    <row r="92" ht="48" spans="1:13">
      <c r="A92" s="252" t="s">
        <v>132</v>
      </c>
      <c r="B92" s="73" t="s">
        <v>305</v>
      </c>
      <c r="C92" s="73" t="s">
        <v>310</v>
      </c>
      <c r="D92" s="73" t="s">
        <v>179</v>
      </c>
      <c r="E92" s="74" t="s">
        <v>138</v>
      </c>
      <c r="F92" s="241" t="s">
        <v>135</v>
      </c>
      <c r="G92" s="75" t="s">
        <v>311</v>
      </c>
      <c r="H92" s="76">
        <f t="shared" si="3"/>
        <v>30</v>
      </c>
      <c r="I92" s="279">
        <v>30</v>
      </c>
      <c r="J92" s="76"/>
      <c r="K92" s="76"/>
      <c r="L92" s="266">
        <v>40</v>
      </c>
      <c r="M92" s="79" t="s">
        <v>286</v>
      </c>
    </row>
    <row r="93" ht="36" spans="1:13">
      <c r="A93" s="252" t="s">
        <v>132</v>
      </c>
      <c r="B93" s="73" t="s">
        <v>305</v>
      </c>
      <c r="C93" s="73" t="s">
        <v>310</v>
      </c>
      <c r="D93" s="73" t="s">
        <v>149</v>
      </c>
      <c r="E93" s="74" t="s">
        <v>138</v>
      </c>
      <c r="F93" s="241" t="s">
        <v>135</v>
      </c>
      <c r="G93" s="75" t="s">
        <v>312</v>
      </c>
      <c r="H93" s="76">
        <f t="shared" si="3"/>
        <v>50</v>
      </c>
      <c r="I93" s="279">
        <v>50</v>
      </c>
      <c r="J93" s="76"/>
      <c r="K93" s="76"/>
      <c r="L93" s="266">
        <v>50</v>
      </c>
      <c r="M93" s="79" t="s">
        <v>286</v>
      </c>
    </row>
    <row r="94" ht="36" spans="1:13">
      <c r="A94" s="252" t="s">
        <v>132</v>
      </c>
      <c r="B94" s="73" t="s">
        <v>305</v>
      </c>
      <c r="C94" s="73" t="s">
        <v>201</v>
      </c>
      <c r="D94" s="73" t="s">
        <v>166</v>
      </c>
      <c r="E94" s="74" t="s">
        <v>138</v>
      </c>
      <c r="F94" s="241" t="s">
        <v>135</v>
      </c>
      <c r="G94" s="75" t="s">
        <v>313</v>
      </c>
      <c r="H94" s="76">
        <f t="shared" si="3"/>
        <v>200</v>
      </c>
      <c r="I94" s="279">
        <v>200</v>
      </c>
      <c r="J94" s="76"/>
      <c r="K94" s="76"/>
      <c r="L94" s="266">
        <v>200</v>
      </c>
      <c r="M94" s="79" t="s">
        <v>286</v>
      </c>
    </row>
    <row r="95" ht="36" spans="1:13">
      <c r="A95" s="252" t="s">
        <v>132</v>
      </c>
      <c r="B95" s="73" t="s">
        <v>305</v>
      </c>
      <c r="C95" s="73" t="s">
        <v>306</v>
      </c>
      <c r="D95" s="73" t="s">
        <v>225</v>
      </c>
      <c r="E95" s="74" t="s">
        <v>138</v>
      </c>
      <c r="F95" s="241" t="s">
        <v>135</v>
      </c>
      <c r="G95" s="75" t="s">
        <v>314</v>
      </c>
      <c r="H95" s="76">
        <f t="shared" si="3"/>
        <v>1370</v>
      </c>
      <c r="I95" s="279">
        <v>1370</v>
      </c>
      <c r="J95" s="76"/>
      <c r="K95" s="76"/>
      <c r="L95" s="266">
        <v>1370</v>
      </c>
      <c r="M95" s="79" t="s">
        <v>286</v>
      </c>
    </row>
    <row r="96" ht="36" spans="1:13">
      <c r="A96" s="252" t="s">
        <v>132</v>
      </c>
      <c r="B96" s="73" t="s">
        <v>262</v>
      </c>
      <c r="C96" s="73" t="s">
        <v>166</v>
      </c>
      <c r="D96" s="73" t="s">
        <v>263</v>
      </c>
      <c r="E96" s="74" t="s">
        <v>138</v>
      </c>
      <c r="F96" s="241" t="s">
        <v>210</v>
      </c>
      <c r="G96" s="75" t="s">
        <v>315</v>
      </c>
      <c r="H96" s="76">
        <f t="shared" si="3"/>
        <v>2</v>
      </c>
      <c r="I96" s="279">
        <v>2</v>
      </c>
      <c r="J96" s="76"/>
      <c r="K96" s="76"/>
      <c r="L96" s="266">
        <v>2</v>
      </c>
      <c r="M96" s="79" t="s">
        <v>286</v>
      </c>
    </row>
    <row r="97" ht="36" spans="1:13">
      <c r="A97" s="252" t="s">
        <v>132</v>
      </c>
      <c r="B97" s="73" t="s">
        <v>305</v>
      </c>
      <c r="C97" s="73" t="s">
        <v>158</v>
      </c>
      <c r="D97" s="253" t="s">
        <v>263</v>
      </c>
      <c r="E97" s="74" t="s">
        <v>138</v>
      </c>
      <c r="F97" s="241" t="s">
        <v>135</v>
      </c>
      <c r="G97" s="75" t="s">
        <v>316</v>
      </c>
      <c r="H97" s="76">
        <f t="shared" si="3"/>
        <v>870</v>
      </c>
      <c r="I97" s="279">
        <v>150</v>
      </c>
      <c r="J97" s="76"/>
      <c r="K97" s="76">
        <v>720</v>
      </c>
      <c r="L97" s="266">
        <v>1505</v>
      </c>
      <c r="M97" s="77" t="s">
        <v>317</v>
      </c>
    </row>
    <row r="98" ht="118.8" spans="1:13">
      <c r="A98" s="252" t="s">
        <v>132</v>
      </c>
      <c r="B98" s="73" t="s">
        <v>305</v>
      </c>
      <c r="C98" s="73" t="s">
        <v>141</v>
      </c>
      <c r="D98" s="73" t="s">
        <v>149</v>
      </c>
      <c r="E98" s="74" t="s">
        <v>138</v>
      </c>
      <c r="F98" s="241" t="s">
        <v>135</v>
      </c>
      <c r="G98" s="75" t="s">
        <v>318</v>
      </c>
      <c r="H98" s="76">
        <f t="shared" si="3"/>
        <v>438.39</v>
      </c>
      <c r="I98" s="76">
        <v>438.39</v>
      </c>
      <c r="J98" s="76"/>
      <c r="K98" s="76"/>
      <c r="L98" s="266">
        <v>525.74</v>
      </c>
      <c r="M98" s="77" t="s">
        <v>319</v>
      </c>
    </row>
    <row r="99" ht="158.4" spans="1:13">
      <c r="A99" s="252" t="s">
        <v>132</v>
      </c>
      <c r="B99" s="73" t="s">
        <v>305</v>
      </c>
      <c r="C99" s="73" t="s">
        <v>158</v>
      </c>
      <c r="D99" s="73" t="s">
        <v>202</v>
      </c>
      <c r="E99" s="74" t="s">
        <v>138</v>
      </c>
      <c r="F99" s="241" t="s">
        <v>135</v>
      </c>
      <c r="G99" s="75" t="s">
        <v>320</v>
      </c>
      <c r="H99" s="76">
        <f t="shared" si="3"/>
        <v>882.8</v>
      </c>
      <c r="I99" s="76">
        <v>882.8</v>
      </c>
      <c r="J99" s="76"/>
      <c r="K99" s="76"/>
      <c r="L99" s="266">
        <v>1779.11</v>
      </c>
      <c r="M99" s="77" t="s">
        <v>321</v>
      </c>
    </row>
    <row r="100" ht="38.4" spans="1:13">
      <c r="A100" s="252" t="s">
        <v>132</v>
      </c>
      <c r="B100" s="73" t="s">
        <v>305</v>
      </c>
      <c r="C100" s="73" t="s">
        <v>260</v>
      </c>
      <c r="D100" s="73" t="s">
        <v>166</v>
      </c>
      <c r="E100" s="74" t="s">
        <v>138</v>
      </c>
      <c r="F100" s="241" t="s">
        <v>210</v>
      </c>
      <c r="G100" s="75" t="s">
        <v>322</v>
      </c>
      <c r="H100" s="76">
        <f t="shared" si="3"/>
        <v>22</v>
      </c>
      <c r="I100" s="76">
        <v>22</v>
      </c>
      <c r="J100" s="76"/>
      <c r="K100" s="76"/>
      <c r="L100" s="266">
        <v>31</v>
      </c>
      <c r="M100" s="80" t="s">
        <v>323</v>
      </c>
    </row>
    <row r="101" ht="49.2" spans="1:13">
      <c r="A101" s="252" t="s">
        <v>132</v>
      </c>
      <c r="B101" s="73" t="s">
        <v>305</v>
      </c>
      <c r="C101" s="73" t="s">
        <v>158</v>
      </c>
      <c r="D101" s="73" t="s">
        <v>166</v>
      </c>
      <c r="E101" s="74" t="s">
        <v>138</v>
      </c>
      <c r="F101" s="241" t="s">
        <v>135</v>
      </c>
      <c r="G101" s="75" t="s">
        <v>324</v>
      </c>
      <c r="H101" s="76">
        <f t="shared" si="3"/>
        <v>100</v>
      </c>
      <c r="I101" s="284">
        <v>100</v>
      </c>
      <c r="J101" s="76"/>
      <c r="K101" s="76"/>
      <c r="L101" s="266">
        <v>13</v>
      </c>
      <c r="M101" s="79" t="s">
        <v>325</v>
      </c>
    </row>
    <row r="102" ht="36" spans="1:13">
      <c r="A102" s="252" t="s">
        <v>132</v>
      </c>
      <c r="B102" s="73" t="s">
        <v>305</v>
      </c>
      <c r="C102" s="73" t="s">
        <v>158</v>
      </c>
      <c r="D102" s="73" t="s">
        <v>166</v>
      </c>
      <c r="E102" s="74" t="s">
        <v>138</v>
      </c>
      <c r="F102" s="241" t="s">
        <v>135</v>
      </c>
      <c r="G102" s="75" t="s">
        <v>326</v>
      </c>
      <c r="H102" s="76">
        <f t="shared" si="3"/>
        <v>12</v>
      </c>
      <c r="I102" s="285">
        <v>12</v>
      </c>
      <c r="J102" s="76"/>
      <c r="K102" s="76"/>
      <c r="L102" s="266">
        <v>14</v>
      </c>
      <c r="M102" s="80"/>
    </row>
    <row r="103" ht="36" spans="1:13">
      <c r="A103" s="252" t="s">
        <v>132</v>
      </c>
      <c r="B103" s="73" t="s">
        <v>305</v>
      </c>
      <c r="C103" s="73" t="s">
        <v>158</v>
      </c>
      <c r="D103" s="73" t="s">
        <v>149</v>
      </c>
      <c r="E103" s="74" t="s">
        <v>138</v>
      </c>
      <c r="F103" s="241" t="s">
        <v>135</v>
      </c>
      <c r="G103" s="75" t="s">
        <v>327</v>
      </c>
      <c r="H103" s="76">
        <f t="shared" si="3"/>
        <v>45</v>
      </c>
      <c r="I103" s="279">
        <v>45</v>
      </c>
      <c r="J103" s="76"/>
      <c r="K103" s="76"/>
      <c r="L103" s="266">
        <v>45</v>
      </c>
      <c r="M103" s="79" t="s">
        <v>328</v>
      </c>
    </row>
    <row r="104" ht="37.2" spans="1:13">
      <c r="A104" s="252" t="s">
        <v>132</v>
      </c>
      <c r="B104" s="73" t="s">
        <v>305</v>
      </c>
      <c r="C104" s="73" t="s">
        <v>158</v>
      </c>
      <c r="D104" s="73" t="s">
        <v>145</v>
      </c>
      <c r="E104" s="74" t="s">
        <v>138</v>
      </c>
      <c r="F104" s="241" t="s">
        <v>135</v>
      </c>
      <c r="G104" s="75" t="s">
        <v>329</v>
      </c>
      <c r="H104" s="76">
        <f t="shared" si="3"/>
        <v>24.46</v>
      </c>
      <c r="I104" s="279">
        <v>24.46</v>
      </c>
      <c r="J104" s="76"/>
      <c r="K104" s="76"/>
      <c r="L104" s="266">
        <v>21</v>
      </c>
      <c r="M104" s="77" t="s">
        <v>330</v>
      </c>
    </row>
    <row r="105" ht="36" spans="1:13">
      <c r="A105" s="252" t="s">
        <v>132</v>
      </c>
      <c r="B105" s="73" t="s">
        <v>305</v>
      </c>
      <c r="C105" s="73" t="s">
        <v>158</v>
      </c>
      <c r="D105" s="73" t="s">
        <v>145</v>
      </c>
      <c r="E105" s="74" t="s">
        <v>138</v>
      </c>
      <c r="F105" s="241" t="s">
        <v>135</v>
      </c>
      <c r="G105" s="75" t="s">
        <v>331</v>
      </c>
      <c r="H105" s="76">
        <f t="shared" si="3"/>
        <v>16.51</v>
      </c>
      <c r="I105" s="279">
        <v>16.51</v>
      </c>
      <c r="J105" s="76"/>
      <c r="K105" s="76"/>
      <c r="L105" s="266">
        <v>16.51</v>
      </c>
      <c r="M105" s="77" t="s">
        <v>332</v>
      </c>
    </row>
    <row r="106" ht="36" spans="1:13">
      <c r="A106" s="252" t="s">
        <v>132</v>
      </c>
      <c r="B106" s="73" t="s">
        <v>305</v>
      </c>
      <c r="C106" s="73" t="s">
        <v>158</v>
      </c>
      <c r="D106" s="73" t="s">
        <v>145</v>
      </c>
      <c r="E106" s="74" t="s">
        <v>138</v>
      </c>
      <c r="F106" s="241" t="s">
        <v>135</v>
      </c>
      <c r="G106" s="75" t="s">
        <v>333</v>
      </c>
      <c r="H106" s="76">
        <f t="shared" si="3"/>
        <v>13</v>
      </c>
      <c r="I106" s="279">
        <v>13</v>
      </c>
      <c r="J106" s="76"/>
      <c r="K106" s="76"/>
      <c r="L106" s="266">
        <v>13</v>
      </c>
      <c r="M106" s="80" t="s">
        <v>334</v>
      </c>
    </row>
    <row r="107" ht="36" spans="1:13">
      <c r="A107" s="252" t="s">
        <v>132</v>
      </c>
      <c r="B107" s="73" t="s">
        <v>305</v>
      </c>
      <c r="C107" s="73" t="s">
        <v>158</v>
      </c>
      <c r="D107" s="73" t="s">
        <v>145</v>
      </c>
      <c r="E107" s="74" t="s">
        <v>138</v>
      </c>
      <c r="F107" s="241" t="s">
        <v>210</v>
      </c>
      <c r="G107" s="75" t="s">
        <v>335</v>
      </c>
      <c r="H107" s="76">
        <f t="shared" si="3"/>
        <v>4.37</v>
      </c>
      <c r="I107" s="279">
        <v>4.37</v>
      </c>
      <c r="J107" s="76"/>
      <c r="K107" s="76"/>
      <c r="L107" s="266">
        <v>4.37</v>
      </c>
      <c r="M107" s="80"/>
    </row>
    <row r="108" ht="36" spans="1:13">
      <c r="A108" s="252" t="s">
        <v>132</v>
      </c>
      <c r="B108" s="73" t="s">
        <v>336</v>
      </c>
      <c r="C108" s="73" t="s">
        <v>145</v>
      </c>
      <c r="D108" s="73" t="s">
        <v>149</v>
      </c>
      <c r="E108" s="74" t="s">
        <v>138</v>
      </c>
      <c r="F108" s="241" t="s">
        <v>135</v>
      </c>
      <c r="G108" s="75" t="s">
        <v>337</v>
      </c>
      <c r="H108" s="76">
        <f t="shared" si="3"/>
        <v>80</v>
      </c>
      <c r="I108" s="76">
        <v>80</v>
      </c>
      <c r="J108" s="76"/>
      <c r="K108" s="76"/>
      <c r="L108" s="266">
        <v>80</v>
      </c>
      <c r="M108" s="80" t="s">
        <v>338</v>
      </c>
    </row>
    <row r="109" ht="36" spans="1:13">
      <c r="A109" s="252" t="s">
        <v>132</v>
      </c>
      <c r="B109" s="73" t="s">
        <v>133</v>
      </c>
      <c r="C109" s="73" t="s">
        <v>149</v>
      </c>
      <c r="D109" s="73" t="s">
        <v>149</v>
      </c>
      <c r="E109" s="74" t="s">
        <v>138</v>
      </c>
      <c r="F109" s="241" t="s">
        <v>135</v>
      </c>
      <c r="G109" s="75" t="s">
        <v>339</v>
      </c>
      <c r="H109" s="76">
        <f t="shared" si="3"/>
        <v>100</v>
      </c>
      <c r="I109" s="76">
        <v>100</v>
      </c>
      <c r="J109" s="76"/>
      <c r="K109" s="76"/>
      <c r="L109" s="266">
        <v>100</v>
      </c>
      <c r="M109" s="77" t="s">
        <v>340</v>
      </c>
    </row>
    <row r="110" ht="36" spans="1:13">
      <c r="A110" s="252" t="s">
        <v>132</v>
      </c>
      <c r="B110" s="243">
        <v>211</v>
      </c>
      <c r="C110" s="73" t="s">
        <v>145</v>
      </c>
      <c r="D110" s="73" t="s">
        <v>225</v>
      </c>
      <c r="E110" s="74" t="s">
        <v>138</v>
      </c>
      <c r="F110" s="241" t="s">
        <v>135</v>
      </c>
      <c r="G110" s="75" t="s">
        <v>341</v>
      </c>
      <c r="H110" s="76">
        <f t="shared" si="3"/>
        <v>378</v>
      </c>
      <c r="I110" s="76"/>
      <c r="J110" s="76"/>
      <c r="K110" s="76">
        <f>120+258</f>
        <v>378</v>
      </c>
      <c r="L110" s="266">
        <v>3328.04</v>
      </c>
      <c r="M110" s="274" t="s">
        <v>342</v>
      </c>
    </row>
    <row r="111" ht="36" spans="1:13">
      <c r="A111" s="252" t="s">
        <v>132</v>
      </c>
      <c r="B111" s="243">
        <v>224</v>
      </c>
      <c r="C111" s="73" t="s">
        <v>179</v>
      </c>
      <c r="D111" s="73" t="s">
        <v>166</v>
      </c>
      <c r="E111" s="74" t="s">
        <v>138</v>
      </c>
      <c r="F111" s="241" t="s">
        <v>135</v>
      </c>
      <c r="G111" s="75" t="s">
        <v>343</v>
      </c>
      <c r="H111" s="76">
        <f t="shared" si="3"/>
        <v>210</v>
      </c>
      <c r="I111" s="76"/>
      <c r="J111" s="76"/>
      <c r="K111" s="76">
        <v>210</v>
      </c>
      <c r="L111" s="266">
        <v>359</v>
      </c>
      <c r="M111" s="274" t="s">
        <v>344</v>
      </c>
    </row>
    <row r="112" ht="36" spans="1:13">
      <c r="A112" s="252" t="s">
        <v>132</v>
      </c>
      <c r="B112" s="73" t="s">
        <v>336</v>
      </c>
      <c r="C112" s="73" t="s">
        <v>145</v>
      </c>
      <c r="D112" s="73" t="s">
        <v>149</v>
      </c>
      <c r="E112" s="74" t="s">
        <v>138</v>
      </c>
      <c r="F112" s="241" t="s">
        <v>135</v>
      </c>
      <c r="G112" s="75" t="s">
        <v>345</v>
      </c>
      <c r="H112" s="76">
        <f t="shared" si="3"/>
        <v>2365</v>
      </c>
      <c r="I112" s="76"/>
      <c r="J112" s="76"/>
      <c r="K112" s="76">
        <v>2365</v>
      </c>
      <c r="L112" s="266">
        <v>16785.44</v>
      </c>
      <c r="M112" s="274" t="s">
        <v>346</v>
      </c>
    </row>
    <row r="113" ht="36" spans="1:13">
      <c r="A113" s="252" t="s">
        <v>132</v>
      </c>
      <c r="B113" s="73" t="s">
        <v>347</v>
      </c>
      <c r="C113" s="73" t="s">
        <v>149</v>
      </c>
      <c r="D113" s="73" t="s">
        <v>149</v>
      </c>
      <c r="E113" s="74" t="s">
        <v>138</v>
      </c>
      <c r="F113" s="241" t="s">
        <v>135</v>
      </c>
      <c r="G113" s="75" t="s">
        <v>348</v>
      </c>
      <c r="H113" s="76">
        <f t="shared" si="3"/>
        <v>53</v>
      </c>
      <c r="I113" s="76">
        <v>53</v>
      </c>
      <c r="J113" s="76"/>
      <c r="K113" s="76"/>
      <c r="L113" s="266">
        <v>24</v>
      </c>
      <c r="M113" s="77" t="s">
        <v>349</v>
      </c>
    </row>
    <row r="114" ht="36" spans="1:13">
      <c r="A114" s="252" t="s">
        <v>132</v>
      </c>
      <c r="B114" s="73" t="s">
        <v>347</v>
      </c>
      <c r="C114" s="73" t="s">
        <v>149</v>
      </c>
      <c r="D114" s="73" t="s">
        <v>149</v>
      </c>
      <c r="E114" s="74" t="s">
        <v>138</v>
      </c>
      <c r="F114" s="241" t="s">
        <v>135</v>
      </c>
      <c r="G114" s="83" t="s">
        <v>350</v>
      </c>
      <c r="H114" s="76">
        <f t="shared" si="3"/>
        <v>457</v>
      </c>
      <c r="I114" s="76">
        <v>10</v>
      </c>
      <c r="J114" s="76"/>
      <c r="K114" s="76">
        <v>447</v>
      </c>
      <c r="L114" s="266">
        <v>500</v>
      </c>
      <c r="M114" s="77" t="s">
        <v>351</v>
      </c>
    </row>
    <row r="115" ht="39.6" spans="1:13">
      <c r="A115" s="252" t="s">
        <v>132</v>
      </c>
      <c r="B115" s="73" t="s">
        <v>336</v>
      </c>
      <c r="C115" s="73" t="s">
        <v>142</v>
      </c>
      <c r="D115" s="73" t="s">
        <v>166</v>
      </c>
      <c r="E115" s="74" t="s">
        <v>138</v>
      </c>
      <c r="F115" s="241" t="s">
        <v>135</v>
      </c>
      <c r="G115" s="75" t="s">
        <v>352</v>
      </c>
      <c r="H115" s="76">
        <f t="shared" si="3"/>
        <v>929</v>
      </c>
      <c r="I115" s="76">
        <v>859</v>
      </c>
      <c r="J115" s="76">
        <v>70</v>
      </c>
      <c r="K115" s="76"/>
      <c r="L115" s="266">
        <v>966</v>
      </c>
      <c r="M115" s="77" t="s">
        <v>353</v>
      </c>
    </row>
    <row r="116" ht="36" spans="1:13">
      <c r="A116" s="252" t="s">
        <v>132</v>
      </c>
      <c r="B116" s="73" t="s">
        <v>336</v>
      </c>
      <c r="C116" s="73" t="s">
        <v>166</v>
      </c>
      <c r="D116" s="73" t="s">
        <v>149</v>
      </c>
      <c r="E116" s="74" t="s">
        <v>138</v>
      </c>
      <c r="F116" s="241" t="s">
        <v>135</v>
      </c>
      <c r="G116" s="75" t="s">
        <v>354</v>
      </c>
      <c r="H116" s="76">
        <f t="shared" si="3"/>
        <v>200</v>
      </c>
      <c r="I116" s="76">
        <v>200</v>
      </c>
      <c r="J116" s="76"/>
      <c r="K116" s="76"/>
      <c r="L116" s="266">
        <v>890</v>
      </c>
      <c r="M116" s="77" t="s">
        <v>355</v>
      </c>
    </row>
    <row r="117" ht="36" spans="1:13">
      <c r="A117" s="252" t="s">
        <v>132</v>
      </c>
      <c r="B117" s="73" t="s">
        <v>336</v>
      </c>
      <c r="C117" s="73" t="s">
        <v>166</v>
      </c>
      <c r="D117" s="73" t="s">
        <v>149</v>
      </c>
      <c r="E117" s="74" t="s">
        <v>138</v>
      </c>
      <c r="F117" s="241" t="s">
        <v>135</v>
      </c>
      <c r="G117" s="75" t="s">
        <v>356</v>
      </c>
      <c r="H117" s="76">
        <f t="shared" si="3"/>
        <v>527.49</v>
      </c>
      <c r="I117" s="76">
        <v>527.49</v>
      </c>
      <c r="J117" s="76"/>
      <c r="K117" s="76"/>
      <c r="L117" s="266">
        <v>527.49</v>
      </c>
      <c r="M117" s="77" t="s">
        <v>357</v>
      </c>
    </row>
    <row r="118" ht="36" spans="1:13">
      <c r="A118" s="252" t="s">
        <v>132</v>
      </c>
      <c r="B118" s="73" t="s">
        <v>336</v>
      </c>
      <c r="C118" s="73" t="s">
        <v>166</v>
      </c>
      <c r="D118" s="73" t="s">
        <v>149</v>
      </c>
      <c r="E118" s="74" t="s">
        <v>138</v>
      </c>
      <c r="F118" s="241" t="s">
        <v>135</v>
      </c>
      <c r="G118" s="75" t="s">
        <v>358</v>
      </c>
      <c r="H118" s="76">
        <f t="shared" si="3"/>
        <v>436.5</v>
      </c>
      <c r="I118" s="76">
        <v>436.5</v>
      </c>
      <c r="J118" s="76"/>
      <c r="K118" s="76"/>
      <c r="L118" s="266">
        <v>1315.75</v>
      </c>
      <c r="M118" s="77" t="s">
        <v>359</v>
      </c>
    </row>
    <row r="119" ht="36" spans="1:13">
      <c r="A119" s="252" t="s">
        <v>132</v>
      </c>
      <c r="B119" s="73" t="s">
        <v>336</v>
      </c>
      <c r="C119" s="73" t="s">
        <v>166</v>
      </c>
      <c r="D119" s="73" t="s">
        <v>149</v>
      </c>
      <c r="E119" s="74" t="s">
        <v>138</v>
      </c>
      <c r="F119" s="241" t="s">
        <v>135</v>
      </c>
      <c r="G119" s="75" t="s">
        <v>360</v>
      </c>
      <c r="H119" s="76">
        <f t="shared" si="3"/>
        <v>250</v>
      </c>
      <c r="I119" s="76">
        <v>250</v>
      </c>
      <c r="J119" s="76"/>
      <c r="K119" s="76"/>
      <c r="L119" s="266">
        <v>250</v>
      </c>
      <c r="M119" s="77" t="s">
        <v>361</v>
      </c>
    </row>
    <row r="120" ht="36" spans="1:13">
      <c r="A120" s="252" t="s">
        <v>132</v>
      </c>
      <c r="B120" s="73" t="s">
        <v>336</v>
      </c>
      <c r="C120" s="73" t="s">
        <v>166</v>
      </c>
      <c r="D120" s="73" t="s">
        <v>149</v>
      </c>
      <c r="E120" s="74" t="s">
        <v>138</v>
      </c>
      <c r="F120" s="241" t="s">
        <v>135</v>
      </c>
      <c r="G120" s="75" t="s">
        <v>362</v>
      </c>
      <c r="H120" s="76">
        <f t="shared" si="3"/>
        <v>149</v>
      </c>
      <c r="I120" s="76">
        <v>149</v>
      </c>
      <c r="J120" s="76"/>
      <c r="K120" s="76"/>
      <c r="L120" s="266">
        <v>341.96</v>
      </c>
      <c r="M120" s="80"/>
    </row>
    <row r="121" ht="38.4" spans="1:13">
      <c r="A121" s="252" t="s">
        <v>132</v>
      </c>
      <c r="B121" s="73" t="s">
        <v>336</v>
      </c>
      <c r="C121" s="73" t="s">
        <v>142</v>
      </c>
      <c r="D121" s="73" t="s">
        <v>166</v>
      </c>
      <c r="E121" s="74" t="s">
        <v>138</v>
      </c>
      <c r="F121" s="241" t="s">
        <v>135</v>
      </c>
      <c r="G121" s="75" t="s">
        <v>363</v>
      </c>
      <c r="H121" s="76">
        <f t="shared" si="3"/>
        <v>518.78</v>
      </c>
      <c r="I121" s="76">
        <v>218.78</v>
      </c>
      <c r="J121" s="76"/>
      <c r="K121" s="76">
        <v>300</v>
      </c>
      <c r="L121" s="266">
        <v>1387.28</v>
      </c>
      <c r="M121" s="77" t="s">
        <v>364</v>
      </c>
    </row>
    <row r="122" ht="79.2" spans="1:13">
      <c r="A122" s="252" t="s">
        <v>132</v>
      </c>
      <c r="B122" s="73" t="s">
        <v>336</v>
      </c>
      <c r="C122" s="73" t="s">
        <v>142</v>
      </c>
      <c r="D122" s="73" t="s">
        <v>166</v>
      </c>
      <c r="E122" s="74" t="s">
        <v>138</v>
      </c>
      <c r="F122" s="241" t="s">
        <v>135</v>
      </c>
      <c r="G122" s="75" t="s">
        <v>365</v>
      </c>
      <c r="H122" s="76">
        <f t="shared" si="3"/>
        <v>5105.14</v>
      </c>
      <c r="I122" s="76">
        <v>5105.14</v>
      </c>
      <c r="J122" s="76"/>
      <c r="K122" s="76"/>
      <c r="L122" s="266">
        <v>5065.14</v>
      </c>
      <c r="M122" s="77" t="s">
        <v>366</v>
      </c>
    </row>
    <row r="123" ht="36" spans="1:13">
      <c r="A123" s="252" t="s">
        <v>132</v>
      </c>
      <c r="B123" s="73" t="s">
        <v>133</v>
      </c>
      <c r="C123" s="73" t="s">
        <v>149</v>
      </c>
      <c r="D123" s="73" t="s">
        <v>149</v>
      </c>
      <c r="E123" s="74" t="s">
        <v>138</v>
      </c>
      <c r="F123" s="241" t="s">
        <v>135</v>
      </c>
      <c r="G123" s="75" t="s">
        <v>367</v>
      </c>
      <c r="H123" s="76">
        <f t="shared" si="3"/>
        <v>150</v>
      </c>
      <c r="I123" s="76">
        <v>150</v>
      </c>
      <c r="J123" s="76"/>
      <c r="K123" s="76"/>
      <c r="L123" s="266"/>
      <c r="M123" s="80"/>
    </row>
    <row r="124" ht="36" spans="1:13">
      <c r="A124" s="252" t="s">
        <v>132</v>
      </c>
      <c r="B124" s="73" t="s">
        <v>336</v>
      </c>
      <c r="C124" s="73" t="s">
        <v>142</v>
      </c>
      <c r="D124" s="73" t="s">
        <v>166</v>
      </c>
      <c r="E124" s="74" t="s">
        <v>138</v>
      </c>
      <c r="F124" s="241" t="s">
        <v>135</v>
      </c>
      <c r="G124" s="75" t="s">
        <v>368</v>
      </c>
      <c r="H124" s="76">
        <f t="shared" si="3"/>
        <v>350</v>
      </c>
      <c r="I124" s="76">
        <v>350</v>
      </c>
      <c r="J124" s="76"/>
      <c r="K124" s="76"/>
      <c r="L124" s="266">
        <v>410</v>
      </c>
      <c r="M124" s="77" t="s">
        <v>369</v>
      </c>
    </row>
    <row r="125" ht="36" spans="1:13">
      <c r="A125" s="252" t="s">
        <v>132</v>
      </c>
      <c r="B125" s="73" t="s">
        <v>336</v>
      </c>
      <c r="C125" s="73" t="s">
        <v>166</v>
      </c>
      <c r="D125" s="73" t="s">
        <v>158</v>
      </c>
      <c r="E125" s="74" t="s">
        <v>138</v>
      </c>
      <c r="F125" s="241" t="s">
        <v>135</v>
      </c>
      <c r="G125" s="75" t="s">
        <v>370</v>
      </c>
      <c r="H125" s="76">
        <f t="shared" si="3"/>
        <v>65</v>
      </c>
      <c r="I125" s="76">
        <v>65</v>
      </c>
      <c r="J125" s="76"/>
      <c r="K125" s="76"/>
      <c r="L125" s="266">
        <v>162.43</v>
      </c>
      <c r="M125" s="80"/>
    </row>
    <row r="126" ht="39.6" spans="1:13">
      <c r="A126" s="252" t="s">
        <v>132</v>
      </c>
      <c r="B126" s="73" t="s">
        <v>336</v>
      </c>
      <c r="C126" s="73" t="s">
        <v>166</v>
      </c>
      <c r="D126" s="73" t="s">
        <v>158</v>
      </c>
      <c r="E126" s="74" t="s">
        <v>138</v>
      </c>
      <c r="F126" s="241" t="s">
        <v>135</v>
      </c>
      <c r="G126" s="75" t="s">
        <v>371</v>
      </c>
      <c r="H126" s="76">
        <f t="shared" si="3"/>
        <v>365.62</v>
      </c>
      <c r="I126" s="76">
        <v>190.62</v>
      </c>
      <c r="J126" s="76">
        <v>175</v>
      </c>
      <c r="K126" s="76"/>
      <c r="L126" s="266">
        <v>220.62</v>
      </c>
      <c r="M126" s="77" t="s">
        <v>372</v>
      </c>
    </row>
    <row r="127" ht="36" spans="1:13">
      <c r="A127" s="252" t="s">
        <v>132</v>
      </c>
      <c r="B127" s="73" t="s">
        <v>336</v>
      </c>
      <c r="C127" s="73" t="s">
        <v>166</v>
      </c>
      <c r="D127" s="73" t="s">
        <v>149</v>
      </c>
      <c r="E127" s="74" t="s">
        <v>138</v>
      </c>
      <c r="F127" s="241" t="s">
        <v>135</v>
      </c>
      <c r="G127" s="75" t="s">
        <v>373</v>
      </c>
      <c r="H127" s="76">
        <f t="shared" si="3"/>
        <v>552.79</v>
      </c>
      <c r="I127" s="76">
        <v>552.79</v>
      </c>
      <c r="J127" s="76"/>
      <c r="K127" s="76"/>
      <c r="L127" s="266">
        <v>552.79</v>
      </c>
      <c r="M127" s="77" t="s">
        <v>374</v>
      </c>
    </row>
    <row r="128" ht="36" spans="1:13">
      <c r="A128" s="252" t="s">
        <v>132</v>
      </c>
      <c r="B128" s="73" t="s">
        <v>336</v>
      </c>
      <c r="C128" s="73" t="s">
        <v>166</v>
      </c>
      <c r="D128" s="73" t="s">
        <v>149</v>
      </c>
      <c r="E128" s="74" t="s">
        <v>138</v>
      </c>
      <c r="F128" s="241" t="s">
        <v>135</v>
      </c>
      <c r="G128" s="75" t="s">
        <v>375</v>
      </c>
      <c r="H128" s="76">
        <f t="shared" si="3"/>
        <v>20</v>
      </c>
      <c r="I128" s="76">
        <v>20</v>
      </c>
      <c r="J128" s="76"/>
      <c r="K128" s="76"/>
      <c r="L128" s="266">
        <v>25</v>
      </c>
      <c r="M128" s="80"/>
    </row>
    <row r="129" ht="36" spans="1:13">
      <c r="A129" s="252" t="s">
        <v>132</v>
      </c>
      <c r="B129" s="73" t="s">
        <v>336</v>
      </c>
      <c r="C129" s="73" t="s">
        <v>166</v>
      </c>
      <c r="D129" s="73" t="s">
        <v>149</v>
      </c>
      <c r="E129" s="74" t="s">
        <v>138</v>
      </c>
      <c r="F129" s="241" t="s">
        <v>135</v>
      </c>
      <c r="G129" s="75" t="s">
        <v>376</v>
      </c>
      <c r="H129" s="76">
        <f t="shared" si="3"/>
        <v>30</v>
      </c>
      <c r="I129" s="76">
        <v>30</v>
      </c>
      <c r="J129" s="76"/>
      <c r="K129" s="76"/>
      <c r="L129" s="266">
        <v>30</v>
      </c>
      <c r="M129" s="77" t="s">
        <v>377</v>
      </c>
    </row>
    <row r="130" ht="36" spans="1:13">
      <c r="A130" s="252" t="s">
        <v>132</v>
      </c>
      <c r="B130" s="73" t="s">
        <v>336</v>
      </c>
      <c r="C130" s="73" t="s">
        <v>166</v>
      </c>
      <c r="D130" s="73" t="s">
        <v>149</v>
      </c>
      <c r="E130" s="74" t="s">
        <v>138</v>
      </c>
      <c r="F130" s="241" t="s">
        <v>135</v>
      </c>
      <c r="G130" s="75" t="s">
        <v>378</v>
      </c>
      <c r="H130" s="76">
        <f t="shared" si="3"/>
        <v>160</v>
      </c>
      <c r="I130" s="76">
        <v>160</v>
      </c>
      <c r="J130" s="76"/>
      <c r="K130" s="76"/>
      <c r="L130" s="266">
        <v>298</v>
      </c>
      <c r="M130" s="77" t="s">
        <v>379</v>
      </c>
    </row>
    <row r="131" ht="37.2" spans="1:13">
      <c r="A131" s="252" t="s">
        <v>132</v>
      </c>
      <c r="B131" s="73" t="s">
        <v>380</v>
      </c>
      <c r="C131" s="73" t="s">
        <v>166</v>
      </c>
      <c r="D131" s="73" t="s">
        <v>149</v>
      </c>
      <c r="E131" s="74" t="s">
        <v>138</v>
      </c>
      <c r="F131" s="241" t="s">
        <v>135</v>
      </c>
      <c r="G131" s="75" t="s">
        <v>381</v>
      </c>
      <c r="H131" s="76">
        <f t="shared" si="3"/>
        <v>412.81</v>
      </c>
      <c r="I131" s="76">
        <v>147.81</v>
      </c>
      <c r="J131" s="76"/>
      <c r="K131" s="76">
        <v>265</v>
      </c>
      <c r="L131" s="266">
        <v>71.74</v>
      </c>
      <c r="M131" s="77" t="s">
        <v>382</v>
      </c>
    </row>
    <row r="132" ht="36" spans="1:13">
      <c r="A132" s="252" t="s">
        <v>132</v>
      </c>
      <c r="B132" s="73" t="s">
        <v>380</v>
      </c>
      <c r="C132" s="73" t="s">
        <v>202</v>
      </c>
      <c r="D132" s="73" t="s">
        <v>145</v>
      </c>
      <c r="E132" s="74" t="s">
        <v>138</v>
      </c>
      <c r="F132" s="241" t="s">
        <v>135</v>
      </c>
      <c r="G132" s="75" t="s">
        <v>383</v>
      </c>
      <c r="H132" s="76">
        <f t="shared" si="3"/>
        <v>15.3</v>
      </c>
      <c r="I132" s="76">
        <v>15.3</v>
      </c>
      <c r="J132" s="76"/>
      <c r="K132" s="76"/>
      <c r="L132" s="266">
        <v>15.3</v>
      </c>
      <c r="M132" s="77" t="s">
        <v>384</v>
      </c>
    </row>
    <row r="133" ht="39.6" spans="1:13">
      <c r="A133" s="252" t="s">
        <v>132</v>
      </c>
      <c r="B133" s="73" t="s">
        <v>380</v>
      </c>
      <c r="C133" s="73" t="s">
        <v>166</v>
      </c>
      <c r="D133" s="73" t="s">
        <v>149</v>
      </c>
      <c r="E133" s="74" t="s">
        <v>138</v>
      </c>
      <c r="F133" s="241" t="s">
        <v>135</v>
      </c>
      <c r="G133" s="75" t="s">
        <v>385</v>
      </c>
      <c r="H133" s="76">
        <f t="shared" si="3"/>
        <v>180</v>
      </c>
      <c r="I133" s="76">
        <v>180</v>
      </c>
      <c r="J133" s="76"/>
      <c r="K133" s="76"/>
      <c r="L133" s="266">
        <v>180</v>
      </c>
      <c r="M133" s="77" t="s">
        <v>386</v>
      </c>
    </row>
    <row r="134" ht="36" spans="1:13">
      <c r="A134" s="252" t="s">
        <v>132</v>
      </c>
      <c r="B134" s="73" t="s">
        <v>380</v>
      </c>
      <c r="C134" s="73" t="s">
        <v>166</v>
      </c>
      <c r="D134" s="243">
        <v>22</v>
      </c>
      <c r="E134" s="74" t="s">
        <v>138</v>
      </c>
      <c r="F134" s="241" t="s">
        <v>135</v>
      </c>
      <c r="G134" s="75" t="s">
        <v>387</v>
      </c>
      <c r="H134" s="76">
        <f t="shared" si="3"/>
        <v>38</v>
      </c>
      <c r="I134" s="76">
        <v>38</v>
      </c>
      <c r="J134" s="76"/>
      <c r="K134" s="76"/>
      <c r="L134" s="266">
        <v>38</v>
      </c>
      <c r="M134" s="77" t="s">
        <v>388</v>
      </c>
    </row>
    <row r="135" ht="36" spans="1:13">
      <c r="A135" s="252" t="s">
        <v>132</v>
      </c>
      <c r="B135" s="73" t="s">
        <v>380</v>
      </c>
      <c r="C135" s="73" t="s">
        <v>141</v>
      </c>
      <c r="D135" s="73" t="s">
        <v>149</v>
      </c>
      <c r="E135" s="74" t="s">
        <v>138</v>
      </c>
      <c r="F135" s="241" t="s">
        <v>135</v>
      </c>
      <c r="G135" s="75" t="s">
        <v>389</v>
      </c>
      <c r="H135" s="76">
        <f t="shared" si="3"/>
        <v>40</v>
      </c>
      <c r="I135" s="76">
        <v>40</v>
      </c>
      <c r="J135" s="76"/>
      <c r="K135" s="76"/>
      <c r="L135" s="266">
        <v>40</v>
      </c>
      <c r="M135" s="74" t="s">
        <v>390</v>
      </c>
    </row>
    <row r="136" ht="36" spans="1:13">
      <c r="A136" s="252" t="s">
        <v>132</v>
      </c>
      <c r="B136" s="73" t="s">
        <v>380</v>
      </c>
      <c r="C136" s="73" t="s">
        <v>166</v>
      </c>
      <c r="D136" s="73" t="s">
        <v>263</v>
      </c>
      <c r="E136" s="74" t="s">
        <v>138</v>
      </c>
      <c r="F136" s="241" t="s">
        <v>135</v>
      </c>
      <c r="G136" s="75" t="s">
        <v>391</v>
      </c>
      <c r="H136" s="76">
        <f t="shared" ref="H136:H199" si="4">I136+J136+K136</f>
        <v>30</v>
      </c>
      <c r="I136" s="76">
        <v>30</v>
      </c>
      <c r="J136" s="76"/>
      <c r="K136" s="76"/>
      <c r="L136" s="266">
        <v>30</v>
      </c>
      <c r="M136" s="77" t="s">
        <v>392</v>
      </c>
    </row>
    <row r="137" ht="36" spans="1:13">
      <c r="A137" s="252" t="s">
        <v>132</v>
      </c>
      <c r="B137" s="73" t="s">
        <v>380</v>
      </c>
      <c r="C137" s="73" t="s">
        <v>142</v>
      </c>
      <c r="D137" s="73" t="s">
        <v>149</v>
      </c>
      <c r="E137" s="74" t="s">
        <v>138</v>
      </c>
      <c r="F137" s="241" t="s">
        <v>135</v>
      </c>
      <c r="G137" s="75" t="s">
        <v>393</v>
      </c>
      <c r="H137" s="76">
        <f t="shared" si="4"/>
        <v>60</v>
      </c>
      <c r="I137" s="76">
        <v>60</v>
      </c>
      <c r="J137" s="76"/>
      <c r="K137" s="76"/>
      <c r="L137" s="266">
        <v>20</v>
      </c>
      <c r="M137" s="77" t="s">
        <v>394</v>
      </c>
    </row>
    <row r="138" ht="36" spans="1:13">
      <c r="A138" s="252" t="s">
        <v>132</v>
      </c>
      <c r="B138" s="73" t="s">
        <v>380</v>
      </c>
      <c r="C138" s="73" t="s">
        <v>149</v>
      </c>
      <c r="D138" s="73" t="s">
        <v>149</v>
      </c>
      <c r="E138" s="74" t="s">
        <v>138</v>
      </c>
      <c r="F138" s="241" t="s">
        <v>135</v>
      </c>
      <c r="G138" s="75" t="s">
        <v>395</v>
      </c>
      <c r="H138" s="76">
        <f t="shared" si="4"/>
        <v>98</v>
      </c>
      <c r="I138" s="76">
        <v>98</v>
      </c>
      <c r="J138" s="76"/>
      <c r="K138" s="76"/>
      <c r="L138" s="266">
        <v>98</v>
      </c>
      <c r="M138" s="288"/>
    </row>
    <row r="139" ht="52.8" spans="1:13">
      <c r="A139" s="252" t="s">
        <v>132</v>
      </c>
      <c r="B139" s="73" t="s">
        <v>380</v>
      </c>
      <c r="C139" s="73" t="s">
        <v>149</v>
      </c>
      <c r="D139" s="73" t="s">
        <v>149</v>
      </c>
      <c r="E139" s="74" t="s">
        <v>138</v>
      </c>
      <c r="F139" s="241" t="s">
        <v>135</v>
      </c>
      <c r="G139" s="75" t="s">
        <v>396</v>
      </c>
      <c r="H139" s="76">
        <f t="shared" si="4"/>
        <v>269.31</v>
      </c>
      <c r="I139" s="76">
        <v>269.31</v>
      </c>
      <c r="J139" s="76"/>
      <c r="K139" s="76"/>
      <c r="L139" s="76">
        <v>269.31</v>
      </c>
      <c r="M139" s="77" t="s">
        <v>397</v>
      </c>
    </row>
    <row r="140" ht="84" spans="1:13">
      <c r="A140" s="252" t="s">
        <v>132</v>
      </c>
      <c r="B140" s="73" t="s">
        <v>380</v>
      </c>
      <c r="C140" s="73" t="s">
        <v>145</v>
      </c>
      <c r="D140" s="73" t="s">
        <v>142</v>
      </c>
      <c r="E140" s="74" t="s">
        <v>138</v>
      </c>
      <c r="F140" s="241" t="s">
        <v>135</v>
      </c>
      <c r="G140" s="75" t="s">
        <v>398</v>
      </c>
      <c r="H140" s="76">
        <f t="shared" si="4"/>
        <v>947.66</v>
      </c>
      <c r="I140" s="76"/>
      <c r="J140" s="76"/>
      <c r="K140" s="76">
        <f>917.97+29.69</f>
        <v>947.66</v>
      </c>
      <c r="L140" s="76">
        <v>952.31</v>
      </c>
      <c r="M140" s="77" t="s">
        <v>399</v>
      </c>
    </row>
    <row r="141" ht="38.4" spans="1:13">
      <c r="A141" s="252" t="s">
        <v>132</v>
      </c>
      <c r="B141" s="73" t="s">
        <v>380</v>
      </c>
      <c r="C141" s="73" t="s">
        <v>145</v>
      </c>
      <c r="D141" s="73" t="s">
        <v>179</v>
      </c>
      <c r="E141" s="74" t="s">
        <v>138</v>
      </c>
      <c r="F141" s="241" t="s">
        <v>135</v>
      </c>
      <c r="G141" s="75" t="s">
        <v>400</v>
      </c>
      <c r="H141" s="76">
        <f t="shared" si="4"/>
        <v>74.8</v>
      </c>
      <c r="I141" s="76">
        <v>74.8</v>
      </c>
      <c r="J141" s="76"/>
      <c r="K141" s="76"/>
      <c r="L141" s="266">
        <v>84.8</v>
      </c>
      <c r="M141" s="77" t="s">
        <v>401</v>
      </c>
    </row>
    <row r="142" ht="36" spans="1:13">
      <c r="A142" s="252" t="s">
        <v>132</v>
      </c>
      <c r="B142" s="73" t="s">
        <v>402</v>
      </c>
      <c r="C142" s="73" t="s">
        <v>166</v>
      </c>
      <c r="D142" s="73" t="s">
        <v>158</v>
      </c>
      <c r="E142" s="74" t="s">
        <v>138</v>
      </c>
      <c r="F142" s="241" t="s">
        <v>135</v>
      </c>
      <c r="G142" s="75" t="s">
        <v>403</v>
      </c>
      <c r="H142" s="76">
        <f t="shared" si="4"/>
        <v>10</v>
      </c>
      <c r="I142" s="273">
        <v>10</v>
      </c>
      <c r="J142" s="76"/>
      <c r="K142" s="76"/>
      <c r="L142" s="266">
        <v>10</v>
      </c>
      <c r="M142" s="272"/>
    </row>
    <row r="143" ht="36" spans="1:13">
      <c r="A143" s="252" t="s">
        <v>132</v>
      </c>
      <c r="B143" s="73" t="s">
        <v>402</v>
      </c>
      <c r="C143" s="73" t="s">
        <v>166</v>
      </c>
      <c r="D143" s="73" t="s">
        <v>179</v>
      </c>
      <c r="E143" s="74" t="s">
        <v>138</v>
      </c>
      <c r="F143" s="241" t="s">
        <v>135</v>
      </c>
      <c r="G143" s="75" t="s">
        <v>404</v>
      </c>
      <c r="H143" s="76">
        <f t="shared" si="4"/>
        <v>20</v>
      </c>
      <c r="I143" s="76">
        <v>20</v>
      </c>
      <c r="J143" s="76"/>
      <c r="K143" s="76"/>
      <c r="L143" s="266"/>
      <c r="M143" s="77"/>
    </row>
    <row r="144" ht="36" spans="1:13">
      <c r="A144" s="252" t="s">
        <v>132</v>
      </c>
      <c r="B144" s="243">
        <v>211</v>
      </c>
      <c r="C144" s="73" t="s">
        <v>166</v>
      </c>
      <c r="D144" s="73" t="s">
        <v>149</v>
      </c>
      <c r="E144" s="74" t="s">
        <v>138</v>
      </c>
      <c r="F144" s="241" t="s">
        <v>135</v>
      </c>
      <c r="G144" s="75" t="s">
        <v>405</v>
      </c>
      <c r="H144" s="76">
        <f t="shared" si="4"/>
        <v>23</v>
      </c>
      <c r="I144" s="76">
        <v>23</v>
      </c>
      <c r="J144" s="76"/>
      <c r="K144" s="76"/>
      <c r="L144" s="266"/>
      <c r="M144" s="77" t="s">
        <v>406</v>
      </c>
    </row>
    <row r="145" ht="36" spans="1:13">
      <c r="A145" s="252" t="s">
        <v>132</v>
      </c>
      <c r="B145" s="73" t="s">
        <v>252</v>
      </c>
      <c r="C145" s="73" t="s">
        <v>225</v>
      </c>
      <c r="D145" s="73" t="s">
        <v>158</v>
      </c>
      <c r="E145" s="74" t="s">
        <v>138</v>
      </c>
      <c r="F145" s="241" t="s">
        <v>135</v>
      </c>
      <c r="G145" s="75" t="s">
        <v>407</v>
      </c>
      <c r="H145" s="76">
        <f t="shared" si="4"/>
        <v>200</v>
      </c>
      <c r="I145" s="76">
        <v>200</v>
      </c>
      <c r="J145" s="76"/>
      <c r="K145" s="76"/>
      <c r="L145" s="266">
        <v>277</v>
      </c>
      <c r="M145" s="77" t="s">
        <v>408</v>
      </c>
    </row>
    <row r="146" ht="84" spans="1:13">
      <c r="A146" s="252" t="s">
        <v>132</v>
      </c>
      <c r="B146" s="73" t="s">
        <v>380</v>
      </c>
      <c r="C146" s="73" t="s">
        <v>166</v>
      </c>
      <c r="D146" s="73" t="s">
        <v>149</v>
      </c>
      <c r="E146" s="74" t="s">
        <v>138</v>
      </c>
      <c r="F146" s="241" t="s">
        <v>135</v>
      </c>
      <c r="G146" s="83" t="s">
        <v>409</v>
      </c>
      <c r="H146" s="76">
        <f t="shared" si="4"/>
        <v>330.09</v>
      </c>
      <c r="I146" s="76">
        <v>330.09</v>
      </c>
      <c r="J146" s="76"/>
      <c r="K146" s="76"/>
      <c r="L146" s="266">
        <v>95.2</v>
      </c>
      <c r="M146" s="79" t="s">
        <v>410</v>
      </c>
    </row>
    <row r="147" ht="36" spans="1:13">
      <c r="A147" s="252" t="s">
        <v>132</v>
      </c>
      <c r="B147" s="253">
        <v>232</v>
      </c>
      <c r="C147" s="253" t="s">
        <v>145</v>
      </c>
      <c r="D147" s="253" t="s">
        <v>166</v>
      </c>
      <c r="E147" s="74" t="s">
        <v>138</v>
      </c>
      <c r="F147" s="254" t="s">
        <v>135</v>
      </c>
      <c r="G147" s="255" t="s">
        <v>411</v>
      </c>
      <c r="H147" s="76">
        <f t="shared" si="4"/>
        <v>1848.5</v>
      </c>
      <c r="I147" s="76">
        <v>1848.5</v>
      </c>
      <c r="J147" s="76"/>
      <c r="K147" s="76"/>
      <c r="L147" s="266">
        <v>1848.5</v>
      </c>
      <c r="M147" s="289"/>
    </row>
    <row r="148" ht="36" spans="1:13">
      <c r="A148" s="252" t="s">
        <v>132</v>
      </c>
      <c r="B148" s="253" t="s">
        <v>412</v>
      </c>
      <c r="C148" s="253"/>
      <c r="D148" s="253"/>
      <c r="E148" s="74" t="s">
        <v>138</v>
      </c>
      <c r="F148" s="254" t="s">
        <v>135</v>
      </c>
      <c r="G148" s="255" t="s">
        <v>413</v>
      </c>
      <c r="H148" s="76">
        <f t="shared" si="4"/>
        <v>1100</v>
      </c>
      <c r="I148" s="76">
        <v>1100</v>
      </c>
      <c r="J148" s="76"/>
      <c r="K148" s="76"/>
      <c r="L148" s="266">
        <v>1200</v>
      </c>
      <c r="M148" s="289"/>
    </row>
    <row r="149" ht="36" spans="1:13">
      <c r="A149" s="252" t="s">
        <v>132</v>
      </c>
      <c r="B149" s="73" t="s">
        <v>133</v>
      </c>
      <c r="C149" s="253" t="s">
        <v>145</v>
      </c>
      <c r="D149" s="253">
        <v>99</v>
      </c>
      <c r="E149" s="74" t="s">
        <v>138</v>
      </c>
      <c r="F149" s="256" t="s">
        <v>135</v>
      </c>
      <c r="G149" s="75" t="s">
        <v>414</v>
      </c>
      <c r="H149" s="76">
        <f t="shared" si="4"/>
        <v>1353.36</v>
      </c>
      <c r="I149" s="76"/>
      <c r="J149" s="76">
        <v>1353.36</v>
      </c>
      <c r="K149" s="76"/>
      <c r="L149" s="266"/>
      <c r="M149" s="80"/>
    </row>
    <row r="150" ht="36" spans="1:13">
      <c r="A150" s="252" t="s">
        <v>415</v>
      </c>
      <c r="B150" s="73"/>
      <c r="C150" s="253"/>
      <c r="D150" s="253"/>
      <c r="E150" s="286"/>
      <c r="F150" s="246"/>
      <c r="G150" s="287"/>
      <c r="H150" s="76">
        <f t="shared" si="4"/>
        <v>876.96</v>
      </c>
      <c r="I150" s="76">
        <f t="shared" ref="I150:K150" si="5">SUM(I151:I153)</f>
        <v>876.96</v>
      </c>
      <c r="J150" s="76">
        <f t="shared" si="5"/>
        <v>0</v>
      </c>
      <c r="K150" s="76">
        <f t="shared" si="5"/>
        <v>0</v>
      </c>
      <c r="L150" s="266"/>
      <c r="M150" s="80"/>
    </row>
    <row r="151" ht="36" spans="1:13">
      <c r="A151" s="252" t="s">
        <v>415</v>
      </c>
      <c r="B151" s="73" t="s">
        <v>133</v>
      </c>
      <c r="C151" s="73" t="s">
        <v>157</v>
      </c>
      <c r="D151" s="73" t="s">
        <v>166</v>
      </c>
      <c r="E151" s="74" t="s">
        <v>134</v>
      </c>
      <c r="F151" s="246"/>
      <c r="G151" s="75" t="s">
        <v>416</v>
      </c>
      <c r="H151" s="76">
        <f t="shared" si="4"/>
        <v>731.59</v>
      </c>
      <c r="I151" s="76">
        <f>768.96-37.37</f>
        <v>731.59</v>
      </c>
      <c r="J151" s="76"/>
      <c r="K151" s="76"/>
      <c r="L151" s="266"/>
      <c r="M151" s="76"/>
    </row>
    <row r="152" ht="36" spans="1:13">
      <c r="A152" s="252" t="s">
        <v>415</v>
      </c>
      <c r="B152" s="73" t="s">
        <v>133</v>
      </c>
      <c r="C152" s="73" t="s">
        <v>157</v>
      </c>
      <c r="D152" s="73" t="s">
        <v>166</v>
      </c>
      <c r="E152" s="74" t="s">
        <v>417</v>
      </c>
      <c r="F152" s="246"/>
      <c r="G152" s="75" t="s">
        <v>418</v>
      </c>
      <c r="H152" s="76">
        <f t="shared" si="4"/>
        <v>121.37</v>
      </c>
      <c r="I152" s="76">
        <f>84+37.37</f>
        <v>121.37</v>
      </c>
      <c r="J152" s="76"/>
      <c r="K152" s="76"/>
      <c r="L152" s="266"/>
      <c r="M152" s="79" t="s">
        <v>419</v>
      </c>
    </row>
    <row r="153" ht="36" spans="1:13">
      <c r="A153" s="252" t="s">
        <v>415</v>
      </c>
      <c r="B153" s="73" t="s">
        <v>133</v>
      </c>
      <c r="C153" s="73" t="s">
        <v>157</v>
      </c>
      <c r="D153" s="73" t="s">
        <v>179</v>
      </c>
      <c r="E153" s="74" t="s">
        <v>210</v>
      </c>
      <c r="F153" s="241" t="s">
        <v>210</v>
      </c>
      <c r="G153" s="75" t="s">
        <v>420</v>
      </c>
      <c r="H153" s="76">
        <f t="shared" si="4"/>
        <v>24</v>
      </c>
      <c r="I153" s="76">
        <v>24</v>
      </c>
      <c r="J153" s="76"/>
      <c r="K153" s="76"/>
      <c r="L153" s="266">
        <v>24</v>
      </c>
      <c r="M153" s="80"/>
    </row>
    <row r="154" ht="24" spans="1:13">
      <c r="A154" s="252" t="s">
        <v>421</v>
      </c>
      <c r="B154" s="73"/>
      <c r="C154" s="73"/>
      <c r="D154" s="73"/>
      <c r="E154" s="286"/>
      <c r="F154" s="226"/>
      <c r="G154" s="287"/>
      <c r="H154" s="76">
        <f t="shared" si="4"/>
        <v>543.16</v>
      </c>
      <c r="I154" s="76">
        <f t="shared" ref="I154:K154" si="6">SUM(I155:I158)</f>
        <v>543.16</v>
      </c>
      <c r="J154" s="76">
        <f t="shared" si="6"/>
        <v>0</v>
      </c>
      <c r="K154" s="76">
        <f t="shared" si="6"/>
        <v>0</v>
      </c>
      <c r="L154" s="266"/>
      <c r="M154" s="80"/>
    </row>
    <row r="155" ht="24" spans="1:13">
      <c r="A155" s="252" t="s">
        <v>421</v>
      </c>
      <c r="B155" s="73" t="s">
        <v>133</v>
      </c>
      <c r="C155" s="73" t="s">
        <v>175</v>
      </c>
      <c r="D155" s="73" t="s">
        <v>166</v>
      </c>
      <c r="E155" s="74" t="s">
        <v>134</v>
      </c>
      <c r="F155" s="246"/>
      <c r="G155" s="75" t="s">
        <v>416</v>
      </c>
      <c r="H155" s="76">
        <f t="shared" si="4"/>
        <v>422.47</v>
      </c>
      <c r="I155" s="76">
        <f>439.86-17.39</f>
        <v>422.47</v>
      </c>
      <c r="J155" s="76"/>
      <c r="K155" s="76"/>
      <c r="L155" s="266"/>
      <c r="M155" s="76"/>
    </row>
    <row r="156" ht="36" spans="1:13">
      <c r="A156" s="252" t="s">
        <v>421</v>
      </c>
      <c r="B156" s="73" t="s">
        <v>133</v>
      </c>
      <c r="C156" s="73" t="s">
        <v>175</v>
      </c>
      <c r="D156" s="73" t="s">
        <v>166</v>
      </c>
      <c r="E156" s="74" t="s">
        <v>417</v>
      </c>
      <c r="F156" s="246"/>
      <c r="G156" s="75" t="s">
        <v>418</v>
      </c>
      <c r="H156" s="76">
        <f t="shared" si="4"/>
        <v>65.69</v>
      </c>
      <c r="I156" s="76">
        <f>48.3+17.39</f>
        <v>65.69</v>
      </c>
      <c r="J156" s="76"/>
      <c r="K156" s="76"/>
      <c r="L156" s="266"/>
      <c r="M156" s="79" t="s">
        <v>419</v>
      </c>
    </row>
    <row r="157" ht="24" spans="1:13">
      <c r="A157" s="252" t="s">
        <v>421</v>
      </c>
      <c r="B157" s="73" t="s">
        <v>133</v>
      </c>
      <c r="C157" s="73" t="s">
        <v>175</v>
      </c>
      <c r="D157" s="73" t="s">
        <v>142</v>
      </c>
      <c r="E157" s="74" t="s">
        <v>210</v>
      </c>
      <c r="F157" s="241" t="s">
        <v>210</v>
      </c>
      <c r="G157" s="75" t="s">
        <v>422</v>
      </c>
      <c r="H157" s="76">
        <f t="shared" si="4"/>
        <v>5</v>
      </c>
      <c r="I157" s="76">
        <v>5</v>
      </c>
      <c r="J157" s="76"/>
      <c r="K157" s="76"/>
      <c r="L157" s="266">
        <v>6</v>
      </c>
      <c r="M157" s="80"/>
    </row>
    <row r="158" ht="24" spans="1:13">
      <c r="A158" s="252" t="s">
        <v>421</v>
      </c>
      <c r="B158" s="73" t="s">
        <v>133</v>
      </c>
      <c r="C158" s="73" t="s">
        <v>175</v>
      </c>
      <c r="D158" s="73" t="s">
        <v>142</v>
      </c>
      <c r="E158" s="74" t="s">
        <v>210</v>
      </c>
      <c r="F158" s="241" t="s">
        <v>210</v>
      </c>
      <c r="G158" s="75" t="s">
        <v>423</v>
      </c>
      <c r="H158" s="76">
        <f t="shared" si="4"/>
        <v>50</v>
      </c>
      <c r="I158" s="76">
        <v>50</v>
      </c>
      <c r="J158" s="76"/>
      <c r="K158" s="76"/>
      <c r="L158" s="266">
        <v>40</v>
      </c>
      <c r="M158" s="77" t="s">
        <v>424</v>
      </c>
    </row>
    <row r="159" ht="36" spans="1:13">
      <c r="A159" s="252" t="s">
        <v>425</v>
      </c>
      <c r="B159" s="73"/>
      <c r="C159" s="73"/>
      <c r="D159" s="73"/>
      <c r="E159" s="286"/>
      <c r="F159" s="246"/>
      <c r="G159" s="287"/>
      <c r="H159" s="76">
        <f t="shared" si="4"/>
        <v>607.74</v>
      </c>
      <c r="I159" s="76">
        <f t="shared" ref="I159:K159" si="7">SUM(I160:I162)</f>
        <v>607.74</v>
      </c>
      <c r="J159" s="76">
        <f t="shared" si="7"/>
        <v>0</v>
      </c>
      <c r="K159" s="76">
        <f t="shared" si="7"/>
        <v>0</v>
      </c>
      <c r="L159" s="266"/>
      <c r="M159" s="76"/>
    </row>
    <row r="160" ht="36" spans="1:13">
      <c r="A160" s="252" t="s">
        <v>425</v>
      </c>
      <c r="B160" s="73" t="s">
        <v>133</v>
      </c>
      <c r="C160" s="73" t="s">
        <v>148</v>
      </c>
      <c r="D160" s="73" t="s">
        <v>166</v>
      </c>
      <c r="E160" s="74" t="s">
        <v>134</v>
      </c>
      <c r="F160" s="246"/>
      <c r="G160" s="75" t="s">
        <v>416</v>
      </c>
      <c r="H160" s="76">
        <f t="shared" si="4"/>
        <v>436.7</v>
      </c>
      <c r="I160" s="76">
        <f>455.16-18.46</f>
        <v>436.7</v>
      </c>
      <c r="J160" s="76"/>
      <c r="K160" s="76"/>
      <c r="L160" s="266"/>
      <c r="M160" s="76"/>
    </row>
    <row r="161" ht="36" spans="1:13">
      <c r="A161" s="252" t="s">
        <v>425</v>
      </c>
      <c r="B161" s="73" t="s">
        <v>133</v>
      </c>
      <c r="C161" s="73" t="s">
        <v>148</v>
      </c>
      <c r="D161" s="73" t="s">
        <v>166</v>
      </c>
      <c r="E161" s="74" t="s">
        <v>417</v>
      </c>
      <c r="F161" s="246"/>
      <c r="G161" s="75" t="s">
        <v>418</v>
      </c>
      <c r="H161" s="76">
        <f t="shared" si="4"/>
        <v>60.46</v>
      </c>
      <c r="I161" s="76">
        <f>42+18.46</f>
        <v>60.46</v>
      </c>
      <c r="J161" s="76"/>
      <c r="K161" s="76"/>
      <c r="L161" s="266"/>
      <c r="M161" s="79" t="s">
        <v>419</v>
      </c>
    </row>
    <row r="162" ht="49.2" spans="1:13">
      <c r="A162" s="252" t="s">
        <v>425</v>
      </c>
      <c r="B162" s="73" t="s">
        <v>133</v>
      </c>
      <c r="C162" s="73" t="s">
        <v>148</v>
      </c>
      <c r="D162" s="73" t="s">
        <v>149</v>
      </c>
      <c r="E162" s="74" t="s">
        <v>210</v>
      </c>
      <c r="F162" s="241" t="s">
        <v>210</v>
      </c>
      <c r="G162" s="75" t="s">
        <v>426</v>
      </c>
      <c r="H162" s="76">
        <f t="shared" si="4"/>
        <v>110.58</v>
      </c>
      <c r="I162" s="76">
        <v>110.58</v>
      </c>
      <c r="J162" s="76"/>
      <c r="K162" s="76"/>
      <c r="L162" s="266">
        <v>140.48</v>
      </c>
      <c r="M162" s="77" t="s">
        <v>427</v>
      </c>
    </row>
    <row r="163" ht="36" spans="1:13">
      <c r="A163" s="252" t="s">
        <v>428</v>
      </c>
      <c r="B163" s="73"/>
      <c r="C163" s="73"/>
      <c r="D163" s="73"/>
      <c r="E163" s="286"/>
      <c r="F163" s="246"/>
      <c r="G163" s="287"/>
      <c r="H163" s="76">
        <f t="shared" si="4"/>
        <v>215.34</v>
      </c>
      <c r="I163" s="76">
        <f>SUM(I164:I165)</f>
        <v>215.34</v>
      </c>
      <c r="J163" s="76">
        <f>SUM(J164:J168)</f>
        <v>0</v>
      </c>
      <c r="K163" s="76">
        <f>SUM(K164:K168)</f>
        <v>0</v>
      </c>
      <c r="L163" s="266"/>
      <c r="M163" s="76"/>
    </row>
    <row r="164" ht="36" spans="1:13">
      <c r="A164" s="252" t="s">
        <v>428</v>
      </c>
      <c r="B164" s="73" t="s">
        <v>133</v>
      </c>
      <c r="C164" s="73" t="s">
        <v>152</v>
      </c>
      <c r="D164" s="73" t="s">
        <v>166</v>
      </c>
      <c r="E164" s="74" t="s">
        <v>134</v>
      </c>
      <c r="F164" s="246"/>
      <c r="G164" s="75" t="s">
        <v>416</v>
      </c>
      <c r="H164" s="76">
        <f t="shared" si="4"/>
        <v>184.81</v>
      </c>
      <c r="I164" s="76">
        <f>194.34-9.53</f>
        <v>184.81</v>
      </c>
      <c r="J164" s="76"/>
      <c r="K164" s="76"/>
      <c r="L164" s="266"/>
      <c r="M164" s="76"/>
    </row>
    <row r="165" ht="36" spans="1:13">
      <c r="A165" s="252" t="s">
        <v>428</v>
      </c>
      <c r="B165" s="73" t="s">
        <v>133</v>
      </c>
      <c r="C165" s="73" t="s">
        <v>152</v>
      </c>
      <c r="D165" s="73" t="s">
        <v>166</v>
      </c>
      <c r="E165" s="74" t="s">
        <v>417</v>
      </c>
      <c r="F165" s="246"/>
      <c r="G165" s="75" t="s">
        <v>418</v>
      </c>
      <c r="H165" s="76">
        <f t="shared" si="4"/>
        <v>30.53</v>
      </c>
      <c r="I165" s="76">
        <f>21+9.53</f>
        <v>30.53</v>
      </c>
      <c r="J165" s="76"/>
      <c r="K165" s="76"/>
      <c r="L165" s="266"/>
      <c r="M165" s="79" t="s">
        <v>419</v>
      </c>
    </row>
    <row r="166" ht="36" spans="1:13">
      <c r="A166" s="252" t="s">
        <v>429</v>
      </c>
      <c r="B166" s="73"/>
      <c r="C166" s="73"/>
      <c r="D166" s="73"/>
      <c r="E166" s="286"/>
      <c r="F166" s="246"/>
      <c r="G166" s="287"/>
      <c r="H166" s="76">
        <f t="shared" si="4"/>
        <v>212.45</v>
      </c>
      <c r="I166" s="76">
        <f t="shared" ref="I166:K166" si="8">SUM(I167:I169)</f>
        <v>212.45</v>
      </c>
      <c r="J166" s="76">
        <f t="shared" si="8"/>
        <v>0</v>
      </c>
      <c r="K166" s="76">
        <f t="shared" si="8"/>
        <v>0</v>
      </c>
      <c r="L166" s="290"/>
      <c r="M166" s="76"/>
    </row>
    <row r="167" ht="36" spans="1:13">
      <c r="A167" s="252" t="s">
        <v>429</v>
      </c>
      <c r="B167" s="73" t="s">
        <v>133</v>
      </c>
      <c r="C167" s="73" t="s">
        <v>161</v>
      </c>
      <c r="D167" s="73" t="s">
        <v>166</v>
      </c>
      <c r="E167" s="74" t="s">
        <v>134</v>
      </c>
      <c r="F167" s="246"/>
      <c r="G167" s="75" t="s">
        <v>416</v>
      </c>
      <c r="H167" s="76">
        <f t="shared" si="4"/>
        <v>178.1</v>
      </c>
      <c r="I167" s="76">
        <f>186.7-8.6</f>
        <v>178.1</v>
      </c>
      <c r="J167" s="76"/>
      <c r="K167" s="76"/>
      <c r="L167" s="291"/>
      <c r="M167" s="76"/>
    </row>
    <row r="168" ht="36" spans="1:13">
      <c r="A168" s="252" t="s">
        <v>429</v>
      </c>
      <c r="B168" s="73" t="s">
        <v>133</v>
      </c>
      <c r="C168" s="73" t="s">
        <v>161</v>
      </c>
      <c r="D168" s="73" t="s">
        <v>166</v>
      </c>
      <c r="E168" s="74" t="s">
        <v>417</v>
      </c>
      <c r="F168" s="246"/>
      <c r="G168" s="75" t="s">
        <v>418</v>
      </c>
      <c r="H168" s="76">
        <f t="shared" si="4"/>
        <v>24.35</v>
      </c>
      <c r="I168" s="76">
        <f>15.75+8.6</f>
        <v>24.35</v>
      </c>
      <c r="J168" s="76"/>
      <c r="K168" s="76"/>
      <c r="L168" s="266"/>
      <c r="M168" s="79" t="s">
        <v>419</v>
      </c>
    </row>
    <row r="169" ht="36" spans="1:13">
      <c r="A169" s="252" t="s">
        <v>429</v>
      </c>
      <c r="B169" s="73" t="s">
        <v>133</v>
      </c>
      <c r="C169" s="73" t="s">
        <v>161</v>
      </c>
      <c r="D169" s="73" t="s">
        <v>149</v>
      </c>
      <c r="E169" s="74" t="s">
        <v>210</v>
      </c>
      <c r="F169" s="241" t="s">
        <v>210</v>
      </c>
      <c r="G169" s="75" t="s">
        <v>430</v>
      </c>
      <c r="H169" s="76">
        <f t="shared" si="4"/>
        <v>10</v>
      </c>
      <c r="I169" s="76">
        <v>10</v>
      </c>
      <c r="J169" s="76"/>
      <c r="K169" s="76"/>
      <c r="L169" s="266">
        <v>10</v>
      </c>
      <c r="M169" s="272" t="s">
        <v>431</v>
      </c>
    </row>
    <row r="170" ht="36" spans="1:13">
      <c r="A170" s="252" t="s">
        <v>432</v>
      </c>
      <c r="B170" s="73"/>
      <c r="C170" s="73"/>
      <c r="D170" s="73"/>
      <c r="E170" s="286"/>
      <c r="F170" s="226"/>
      <c r="G170" s="287"/>
      <c r="H170" s="76">
        <f t="shared" si="4"/>
        <v>179.38</v>
      </c>
      <c r="I170" s="76">
        <f t="shared" ref="I170:K170" si="9">SUM(I171:I173)</f>
        <v>179.38</v>
      </c>
      <c r="J170" s="76">
        <f t="shared" si="9"/>
        <v>0</v>
      </c>
      <c r="K170" s="76">
        <f t="shared" si="9"/>
        <v>0</v>
      </c>
      <c r="L170" s="266"/>
      <c r="M170" s="269"/>
    </row>
    <row r="171" ht="36" spans="1:13">
      <c r="A171" s="252" t="s">
        <v>432</v>
      </c>
      <c r="B171" s="73" t="s">
        <v>133</v>
      </c>
      <c r="C171" s="73" t="s">
        <v>433</v>
      </c>
      <c r="D171" s="73" t="s">
        <v>166</v>
      </c>
      <c r="E171" s="74" t="s">
        <v>134</v>
      </c>
      <c r="F171" s="246"/>
      <c r="G171" s="75" t="s">
        <v>416</v>
      </c>
      <c r="H171" s="76">
        <f t="shared" si="4"/>
        <v>153.38</v>
      </c>
      <c r="I171" s="76">
        <f>160.53-7.15</f>
        <v>153.38</v>
      </c>
      <c r="J171" s="76"/>
      <c r="K171" s="76"/>
      <c r="L171" s="266"/>
      <c r="M171" s="76"/>
    </row>
    <row r="172" ht="36" spans="1:13">
      <c r="A172" s="252" t="s">
        <v>432</v>
      </c>
      <c r="B172" s="73" t="s">
        <v>133</v>
      </c>
      <c r="C172" s="73" t="s">
        <v>433</v>
      </c>
      <c r="D172" s="73" t="s">
        <v>166</v>
      </c>
      <c r="E172" s="74" t="s">
        <v>417</v>
      </c>
      <c r="F172" s="246"/>
      <c r="G172" s="75" t="s">
        <v>418</v>
      </c>
      <c r="H172" s="76">
        <f t="shared" si="4"/>
        <v>22.9</v>
      </c>
      <c r="I172" s="76">
        <f>15.75+7.15</f>
        <v>22.9</v>
      </c>
      <c r="J172" s="76"/>
      <c r="K172" s="76"/>
      <c r="L172" s="266"/>
      <c r="M172" s="79" t="s">
        <v>419</v>
      </c>
    </row>
    <row r="173" ht="36" spans="1:13">
      <c r="A173" s="252" t="s">
        <v>432</v>
      </c>
      <c r="B173" s="73" t="s">
        <v>165</v>
      </c>
      <c r="C173" s="73" t="s">
        <v>149</v>
      </c>
      <c r="D173" s="73" t="s">
        <v>149</v>
      </c>
      <c r="E173" s="74" t="s">
        <v>210</v>
      </c>
      <c r="F173" s="241" t="s">
        <v>210</v>
      </c>
      <c r="G173" s="75" t="s">
        <v>434</v>
      </c>
      <c r="H173" s="76">
        <f t="shared" si="4"/>
        <v>3.1</v>
      </c>
      <c r="I173" s="76">
        <v>3.1</v>
      </c>
      <c r="J173" s="76"/>
      <c r="K173" s="76"/>
      <c r="L173" s="266">
        <v>3.1</v>
      </c>
      <c r="M173" s="80"/>
    </row>
    <row r="174" ht="36" spans="1:13">
      <c r="A174" s="252" t="s">
        <v>435</v>
      </c>
      <c r="B174" s="73"/>
      <c r="C174" s="73"/>
      <c r="D174" s="73"/>
      <c r="E174" s="286"/>
      <c r="F174" s="226"/>
      <c r="G174" s="287"/>
      <c r="H174" s="76">
        <f t="shared" si="4"/>
        <v>93.62</v>
      </c>
      <c r="I174" s="76">
        <f t="shared" ref="I174:K174" si="10">SUM(I175:I177)</f>
        <v>93.62</v>
      </c>
      <c r="J174" s="76">
        <f t="shared" si="10"/>
        <v>0</v>
      </c>
      <c r="K174" s="76">
        <f t="shared" si="10"/>
        <v>0</v>
      </c>
      <c r="L174" s="266"/>
      <c r="M174" s="80"/>
    </row>
    <row r="175" ht="36" spans="1:13">
      <c r="A175" s="252" t="s">
        <v>435</v>
      </c>
      <c r="B175" s="73" t="s">
        <v>133</v>
      </c>
      <c r="C175" s="73" t="s">
        <v>148</v>
      </c>
      <c r="D175" s="73" t="s">
        <v>166</v>
      </c>
      <c r="E175" s="74" t="s">
        <v>134</v>
      </c>
      <c r="F175" s="246"/>
      <c r="G175" s="75" t="s">
        <v>416</v>
      </c>
      <c r="H175" s="76">
        <f t="shared" si="4"/>
        <v>74.01</v>
      </c>
      <c r="I175" s="76">
        <f>77.62-3.61</f>
        <v>74.01</v>
      </c>
      <c r="J175" s="76"/>
      <c r="K175" s="76"/>
      <c r="L175" s="266"/>
      <c r="M175" s="76"/>
    </row>
    <row r="176" ht="36" spans="1:13">
      <c r="A176" s="252" t="s">
        <v>435</v>
      </c>
      <c r="B176" s="73" t="s">
        <v>133</v>
      </c>
      <c r="C176" s="73" t="s">
        <v>148</v>
      </c>
      <c r="D176" s="73" t="s">
        <v>166</v>
      </c>
      <c r="E176" s="74" t="s">
        <v>417</v>
      </c>
      <c r="F176" s="246"/>
      <c r="G176" s="75" t="s">
        <v>418</v>
      </c>
      <c r="H176" s="76">
        <f t="shared" si="4"/>
        <v>10.61</v>
      </c>
      <c r="I176" s="76">
        <f>7+3.61</f>
        <v>10.61</v>
      </c>
      <c r="J176" s="76"/>
      <c r="K176" s="76"/>
      <c r="L176" s="266"/>
      <c r="M176" s="79" t="s">
        <v>419</v>
      </c>
    </row>
    <row r="177" ht="36" spans="1:13">
      <c r="A177" s="252" t="s">
        <v>435</v>
      </c>
      <c r="B177" s="73" t="s">
        <v>133</v>
      </c>
      <c r="C177" s="73" t="s">
        <v>148</v>
      </c>
      <c r="D177" s="73" t="s">
        <v>149</v>
      </c>
      <c r="E177" s="74" t="s">
        <v>210</v>
      </c>
      <c r="F177" s="241" t="s">
        <v>210</v>
      </c>
      <c r="G177" s="75" t="s">
        <v>436</v>
      </c>
      <c r="H177" s="76">
        <f t="shared" si="4"/>
        <v>9</v>
      </c>
      <c r="I177" s="76">
        <v>9</v>
      </c>
      <c r="J177" s="76"/>
      <c r="K177" s="76"/>
      <c r="L177" s="266">
        <v>9</v>
      </c>
      <c r="M177" s="80"/>
    </row>
    <row r="178" ht="36" spans="1:13">
      <c r="A178" s="252" t="s">
        <v>437</v>
      </c>
      <c r="B178" s="73"/>
      <c r="C178" s="73"/>
      <c r="D178" s="73"/>
      <c r="E178" s="286"/>
      <c r="F178" s="226"/>
      <c r="G178" s="287"/>
      <c r="H178" s="76">
        <f t="shared" si="4"/>
        <v>29.5</v>
      </c>
      <c r="I178" s="76">
        <f>SUM(I179:I180)</f>
        <v>29.5</v>
      </c>
      <c r="J178" s="76">
        <f>SUM(J179:J179)</f>
        <v>0</v>
      </c>
      <c r="K178" s="76">
        <f>SUM(K179:K179)</f>
        <v>0</v>
      </c>
      <c r="L178" s="266"/>
      <c r="M178" s="80"/>
    </row>
    <row r="179" ht="36" spans="1:13">
      <c r="A179" s="252" t="s">
        <v>437</v>
      </c>
      <c r="B179" s="73" t="s">
        <v>133</v>
      </c>
      <c r="C179" s="73" t="s">
        <v>182</v>
      </c>
      <c r="D179" s="73" t="s">
        <v>166</v>
      </c>
      <c r="E179" s="74" t="s">
        <v>134</v>
      </c>
      <c r="F179" s="246"/>
      <c r="G179" s="75" t="s">
        <v>416</v>
      </c>
      <c r="H179" s="76">
        <f t="shared" si="4"/>
        <v>25.28</v>
      </c>
      <c r="I179" s="76">
        <f>26.7-1.42</f>
        <v>25.28</v>
      </c>
      <c r="J179" s="76"/>
      <c r="K179" s="76"/>
      <c r="L179" s="266"/>
      <c r="M179" s="76"/>
    </row>
    <row r="180" ht="36" spans="1:13">
      <c r="A180" s="252" t="s">
        <v>437</v>
      </c>
      <c r="B180" s="73" t="s">
        <v>133</v>
      </c>
      <c r="C180" s="73" t="s">
        <v>182</v>
      </c>
      <c r="D180" s="73" t="s">
        <v>166</v>
      </c>
      <c r="E180" s="74" t="s">
        <v>417</v>
      </c>
      <c r="F180" s="246"/>
      <c r="G180" s="75" t="s">
        <v>418</v>
      </c>
      <c r="H180" s="76">
        <f t="shared" si="4"/>
        <v>4.22</v>
      </c>
      <c r="I180" s="76">
        <f>2.8+1.42</f>
        <v>4.22</v>
      </c>
      <c r="J180" s="76"/>
      <c r="K180" s="76"/>
      <c r="L180" s="266"/>
      <c r="M180" s="79" t="s">
        <v>419</v>
      </c>
    </row>
    <row r="181" ht="36" spans="1:13">
      <c r="A181" s="252" t="s">
        <v>438</v>
      </c>
      <c r="B181" s="73"/>
      <c r="C181" s="73"/>
      <c r="D181" s="73"/>
      <c r="E181" s="286"/>
      <c r="F181" s="246"/>
      <c r="G181" s="287"/>
      <c r="H181" s="76">
        <f t="shared" si="4"/>
        <v>892.24</v>
      </c>
      <c r="I181" s="276">
        <f t="shared" ref="I181:K181" si="11">SUM(I182:I187)</f>
        <v>892.24</v>
      </c>
      <c r="J181" s="276">
        <f t="shared" si="11"/>
        <v>0</v>
      </c>
      <c r="K181" s="276">
        <f t="shared" si="11"/>
        <v>0</v>
      </c>
      <c r="L181" s="266"/>
      <c r="M181" s="76"/>
    </row>
    <row r="182" ht="36" spans="1:13">
      <c r="A182" s="252" t="s">
        <v>438</v>
      </c>
      <c r="B182" s="73" t="s">
        <v>133</v>
      </c>
      <c r="C182" s="73" t="s">
        <v>166</v>
      </c>
      <c r="D182" s="73" t="s">
        <v>166</v>
      </c>
      <c r="E182" s="74" t="s">
        <v>134</v>
      </c>
      <c r="F182" s="246"/>
      <c r="G182" s="75" t="s">
        <v>416</v>
      </c>
      <c r="H182" s="76">
        <f t="shared" si="4"/>
        <v>734.57</v>
      </c>
      <c r="I182" s="76">
        <f>766.21-31.64</f>
        <v>734.57</v>
      </c>
      <c r="J182" s="76"/>
      <c r="K182" s="76"/>
      <c r="L182" s="266"/>
      <c r="M182" s="76"/>
    </row>
    <row r="183" ht="36" spans="1:13">
      <c r="A183" s="252" t="s">
        <v>438</v>
      </c>
      <c r="B183" s="73" t="s">
        <v>133</v>
      </c>
      <c r="C183" s="73" t="s">
        <v>166</v>
      </c>
      <c r="D183" s="73" t="s">
        <v>166</v>
      </c>
      <c r="E183" s="74" t="s">
        <v>417</v>
      </c>
      <c r="F183" s="246"/>
      <c r="G183" s="75" t="s">
        <v>418</v>
      </c>
      <c r="H183" s="76">
        <f t="shared" si="4"/>
        <v>96.74</v>
      </c>
      <c r="I183" s="76">
        <f>31.64+65.1</f>
        <v>96.74</v>
      </c>
      <c r="J183" s="76"/>
      <c r="K183" s="76"/>
      <c r="L183" s="266"/>
      <c r="M183" s="79" t="s">
        <v>419</v>
      </c>
    </row>
    <row r="184" ht="36" spans="1:13">
      <c r="A184" s="252" t="s">
        <v>438</v>
      </c>
      <c r="B184" s="73" t="s">
        <v>133</v>
      </c>
      <c r="C184" s="73" t="s">
        <v>166</v>
      </c>
      <c r="D184" s="73" t="s">
        <v>141</v>
      </c>
      <c r="E184" s="74" t="s">
        <v>210</v>
      </c>
      <c r="F184" s="241" t="s">
        <v>210</v>
      </c>
      <c r="G184" s="75" t="s">
        <v>439</v>
      </c>
      <c r="H184" s="76">
        <f t="shared" si="4"/>
        <v>41.5</v>
      </c>
      <c r="I184" s="76">
        <v>41.5</v>
      </c>
      <c r="J184" s="76"/>
      <c r="K184" s="76"/>
      <c r="L184" s="266">
        <v>51.9</v>
      </c>
      <c r="M184" s="80" t="s">
        <v>440</v>
      </c>
    </row>
    <row r="185" ht="36" spans="1:13">
      <c r="A185" s="252" t="s">
        <v>438</v>
      </c>
      <c r="B185" s="73" t="s">
        <v>133</v>
      </c>
      <c r="C185" s="73" t="s">
        <v>166</v>
      </c>
      <c r="D185" s="73" t="s">
        <v>158</v>
      </c>
      <c r="E185" s="74" t="s">
        <v>210</v>
      </c>
      <c r="F185" s="241" t="s">
        <v>210</v>
      </c>
      <c r="G185" s="75" t="s">
        <v>441</v>
      </c>
      <c r="H185" s="76">
        <f t="shared" si="4"/>
        <v>16.3</v>
      </c>
      <c r="I185" s="76">
        <v>16.3</v>
      </c>
      <c r="J185" s="76"/>
      <c r="K185" s="76"/>
      <c r="L185" s="266">
        <v>20</v>
      </c>
      <c r="M185" s="77" t="s">
        <v>442</v>
      </c>
    </row>
    <row r="186" ht="36" spans="1:13">
      <c r="A186" s="252" t="s">
        <v>438</v>
      </c>
      <c r="B186" s="73" t="s">
        <v>133</v>
      </c>
      <c r="C186" s="73" t="s">
        <v>166</v>
      </c>
      <c r="D186" s="73" t="s">
        <v>149</v>
      </c>
      <c r="E186" s="74" t="s">
        <v>210</v>
      </c>
      <c r="F186" s="241" t="s">
        <v>210</v>
      </c>
      <c r="G186" s="75" t="s">
        <v>434</v>
      </c>
      <c r="H186" s="76">
        <f t="shared" si="4"/>
        <v>1.13</v>
      </c>
      <c r="I186" s="76">
        <v>1.13</v>
      </c>
      <c r="J186" s="76"/>
      <c r="K186" s="76"/>
      <c r="L186" s="266">
        <v>1.13</v>
      </c>
      <c r="M186" s="80"/>
    </row>
    <row r="187" ht="36" spans="1:13">
      <c r="A187" s="252" t="s">
        <v>438</v>
      </c>
      <c r="B187" s="73" t="s">
        <v>133</v>
      </c>
      <c r="C187" s="73" t="s">
        <v>166</v>
      </c>
      <c r="D187" s="73" t="s">
        <v>179</v>
      </c>
      <c r="E187" s="74" t="s">
        <v>210</v>
      </c>
      <c r="F187" s="241" t="s">
        <v>210</v>
      </c>
      <c r="G187" s="75" t="s">
        <v>443</v>
      </c>
      <c r="H187" s="76">
        <f t="shared" si="4"/>
        <v>2</v>
      </c>
      <c r="I187" s="76">
        <v>2</v>
      </c>
      <c r="J187" s="76"/>
      <c r="K187" s="76"/>
      <c r="L187" s="266">
        <v>3</v>
      </c>
      <c r="M187" s="80"/>
    </row>
    <row r="188" ht="24" spans="1:13">
      <c r="A188" s="252" t="s">
        <v>444</v>
      </c>
      <c r="B188" s="73"/>
      <c r="C188" s="73"/>
      <c r="D188" s="73"/>
      <c r="E188" s="286"/>
      <c r="F188" s="246"/>
      <c r="G188" s="287"/>
      <c r="H188" s="76">
        <f t="shared" si="4"/>
        <v>682.06</v>
      </c>
      <c r="I188" s="276">
        <f t="shared" ref="I188:K188" si="12">SUM(I189:I193)</f>
        <v>682.06</v>
      </c>
      <c r="J188" s="276">
        <f t="shared" si="12"/>
        <v>0</v>
      </c>
      <c r="K188" s="276">
        <f t="shared" si="12"/>
        <v>0</v>
      </c>
      <c r="L188" s="266"/>
      <c r="M188" s="76"/>
    </row>
    <row r="189" ht="24" spans="1:13">
      <c r="A189" s="252" t="s">
        <v>444</v>
      </c>
      <c r="B189" s="73" t="s">
        <v>133</v>
      </c>
      <c r="C189" s="73" t="s">
        <v>145</v>
      </c>
      <c r="D189" s="73" t="s">
        <v>166</v>
      </c>
      <c r="E189" s="74" t="s">
        <v>134</v>
      </c>
      <c r="F189" s="246"/>
      <c r="G189" s="75" t="s">
        <v>416</v>
      </c>
      <c r="H189" s="76">
        <f t="shared" si="4"/>
        <v>524.7</v>
      </c>
      <c r="I189" s="76">
        <f>544.76-20.06</f>
        <v>524.7</v>
      </c>
      <c r="J189" s="76"/>
      <c r="K189" s="76"/>
      <c r="L189" s="266"/>
      <c r="M189" s="76"/>
    </row>
    <row r="190" ht="36" spans="1:13">
      <c r="A190" s="252" t="s">
        <v>444</v>
      </c>
      <c r="B190" s="73" t="s">
        <v>133</v>
      </c>
      <c r="C190" s="73" t="s">
        <v>145</v>
      </c>
      <c r="D190" s="73" t="s">
        <v>166</v>
      </c>
      <c r="E190" s="74" t="s">
        <v>417</v>
      </c>
      <c r="F190" s="246"/>
      <c r="G190" s="75" t="s">
        <v>418</v>
      </c>
      <c r="H190" s="76">
        <f t="shared" si="4"/>
        <v>76.76</v>
      </c>
      <c r="I190" s="76">
        <f>20.06+56.7</f>
        <v>76.76</v>
      </c>
      <c r="J190" s="76"/>
      <c r="K190" s="76"/>
      <c r="L190" s="266"/>
      <c r="M190" s="79" t="s">
        <v>419</v>
      </c>
    </row>
    <row r="191" ht="24" spans="1:13">
      <c r="A191" s="252" t="s">
        <v>444</v>
      </c>
      <c r="B191" s="73" t="s">
        <v>133</v>
      </c>
      <c r="C191" s="73" t="s">
        <v>145</v>
      </c>
      <c r="D191" s="73" t="s">
        <v>149</v>
      </c>
      <c r="E191" s="74" t="s">
        <v>210</v>
      </c>
      <c r="F191" s="241" t="s">
        <v>210</v>
      </c>
      <c r="G191" s="75" t="s">
        <v>445</v>
      </c>
      <c r="H191" s="76">
        <f t="shared" si="4"/>
        <v>70</v>
      </c>
      <c r="I191" s="273">
        <v>70</v>
      </c>
      <c r="J191" s="76"/>
      <c r="K191" s="76"/>
      <c r="L191" s="292">
        <v>85</v>
      </c>
      <c r="M191" s="79" t="s">
        <v>446</v>
      </c>
    </row>
    <row r="192" ht="24" spans="1:13">
      <c r="A192" s="252" t="s">
        <v>444</v>
      </c>
      <c r="B192" s="73" t="s">
        <v>133</v>
      </c>
      <c r="C192" s="73" t="s">
        <v>145</v>
      </c>
      <c r="D192" s="73" t="s">
        <v>149</v>
      </c>
      <c r="E192" s="74" t="s">
        <v>210</v>
      </c>
      <c r="F192" s="241" t="s">
        <v>210</v>
      </c>
      <c r="G192" s="75" t="s">
        <v>447</v>
      </c>
      <c r="H192" s="76">
        <f t="shared" si="4"/>
        <v>5.6</v>
      </c>
      <c r="I192" s="76">
        <v>5.6</v>
      </c>
      <c r="J192" s="76"/>
      <c r="K192" s="76"/>
      <c r="L192" s="266">
        <v>7.8</v>
      </c>
      <c r="M192" s="80"/>
    </row>
    <row r="193" ht="24" spans="1:13">
      <c r="A193" s="252" t="s">
        <v>444</v>
      </c>
      <c r="B193" s="73" t="s">
        <v>133</v>
      </c>
      <c r="C193" s="73" t="s">
        <v>145</v>
      </c>
      <c r="D193" s="73" t="s">
        <v>149</v>
      </c>
      <c r="E193" s="74" t="s">
        <v>210</v>
      </c>
      <c r="F193" s="241" t="s">
        <v>210</v>
      </c>
      <c r="G193" s="75" t="s">
        <v>422</v>
      </c>
      <c r="H193" s="76">
        <f t="shared" si="4"/>
        <v>5</v>
      </c>
      <c r="I193" s="76">
        <v>5</v>
      </c>
      <c r="J193" s="76"/>
      <c r="K193" s="76"/>
      <c r="L193" s="266">
        <v>6</v>
      </c>
      <c r="M193" s="80"/>
    </row>
    <row r="194" ht="48" spans="1:13">
      <c r="A194" s="252" t="s">
        <v>448</v>
      </c>
      <c r="B194" s="73"/>
      <c r="C194" s="73"/>
      <c r="D194" s="73"/>
      <c r="E194" s="286"/>
      <c r="F194" s="246"/>
      <c r="G194" s="287"/>
      <c r="H194" s="76">
        <f t="shared" si="4"/>
        <v>665.64</v>
      </c>
      <c r="I194" s="76">
        <f t="shared" ref="I194:K194" si="13">SUM(I195:I198)</f>
        <v>665.64</v>
      </c>
      <c r="J194" s="76">
        <f t="shared" si="13"/>
        <v>0</v>
      </c>
      <c r="K194" s="76">
        <f t="shared" si="13"/>
        <v>0</v>
      </c>
      <c r="L194" s="266"/>
      <c r="M194" s="76"/>
    </row>
    <row r="195" ht="48" spans="1:13">
      <c r="A195" s="252" t="s">
        <v>448</v>
      </c>
      <c r="B195" s="73" t="s">
        <v>133</v>
      </c>
      <c r="C195" s="73" t="s">
        <v>225</v>
      </c>
      <c r="D195" s="73" t="s">
        <v>166</v>
      </c>
      <c r="E195" s="74" t="s">
        <v>134</v>
      </c>
      <c r="F195" s="246"/>
      <c r="G195" s="75" t="s">
        <v>416</v>
      </c>
      <c r="H195" s="76">
        <f t="shared" si="4"/>
        <v>533.88</v>
      </c>
      <c r="I195" s="76">
        <f>558.24-24.36</f>
        <v>533.88</v>
      </c>
      <c r="J195" s="76"/>
      <c r="K195" s="76"/>
      <c r="L195" s="266"/>
      <c r="M195" s="76"/>
    </row>
    <row r="196" ht="48" spans="1:13">
      <c r="A196" s="252" t="s">
        <v>448</v>
      </c>
      <c r="B196" s="73" t="s">
        <v>133</v>
      </c>
      <c r="C196" s="73" t="s">
        <v>225</v>
      </c>
      <c r="D196" s="73" t="s">
        <v>166</v>
      </c>
      <c r="E196" s="74" t="s">
        <v>417</v>
      </c>
      <c r="F196" s="246"/>
      <c r="G196" s="75" t="s">
        <v>418</v>
      </c>
      <c r="H196" s="76">
        <f t="shared" si="4"/>
        <v>74.76</v>
      </c>
      <c r="I196" s="76">
        <f>50.4+24.36</f>
        <v>74.76</v>
      </c>
      <c r="J196" s="76"/>
      <c r="K196" s="76"/>
      <c r="L196" s="266"/>
      <c r="M196" s="79" t="s">
        <v>419</v>
      </c>
    </row>
    <row r="197" ht="48" spans="1:13">
      <c r="A197" s="252" t="s">
        <v>448</v>
      </c>
      <c r="B197" s="73" t="s">
        <v>133</v>
      </c>
      <c r="C197" s="73" t="s">
        <v>225</v>
      </c>
      <c r="D197" s="73" t="s">
        <v>158</v>
      </c>
      <c r="E197" s="74" t="s">
        <v>210</v>
      </c>
      <c r="F197" s="241" t="s">
        <v>210</v>
      </c>
      <c r="G197" s="75" t="s">
        <v>449</v>
      </c>
      <c r="H197" s="76">
        <f t="shared" si="4"/>
        <v>16.2</v>
      </c>
      <c r="I197" s="76">
        <v>16.2</v>
      </c>
      <c r="J197" s="76"/>
      <c r="K197" s="76"/>
      <c r="L197" s="266">
        <v>20</v>
      </c>
      <c r="M197" s="80"/>
    </row>
    <row r="198" ht="48" spans="1:13">
      <c r="A198" s="252" t="s">
        <v>448</v>
      </c>
      <c r="B198" s="73" t="s">
        <v>133</v>
      </c>
      <c r="C198" s="73" t="s">
        <v>225</v>
      </c>
      <c r="D198" s="73" t="s">
        <v>158</v>
      </c>
      <c r="E198" s="74" t="s">
        <v>210</v>
      </c>
      <c r="F198" s="241" t="s">
        <v>210</v>
      </c>
      <c r="G198" s="75" t="s">
        <v>450</v>
      </c>
      <c r="H198" s="76">
        <f t="shared" si="4"/>
        <v>40.8</v>
      </c>
      <c r="I198" s="76">
        <v>40.8</v>
      </c>
      <c r="J198" s="76"/>
      <c r="K198" s="76"/>
      <c r="L198" s="266">
        <v>51</v>
      </c>
      <c r="M198" s="80"/>
    </row>
    <row r="199" ht="24" spans="1:13">
      <c r="A199" s="252" t="s">
        <v>451</v>
      </c>
      <c r="B199" s="73"/>
      <c r="C199" s="73"/>
      <c r="D199" s="73"/>
      <c r="E199" s="286"/>
      <c r="F199" s="246"/>
      <c r="G199" s="287"/>
      <c r="H199" s="76">
        <f t="shared" si="4"/>
        <v>420.74</v>
      </c>
      <c r="I199" s="276">
        <f t="shared" ref="I199:K199" si="14">SUM(I200:I202)</f>
        <v>420.74</v>
      </c>
      <c r="J199" s="276">
        <f t="shared" si="14"/>
        <v>0</v>
      </c>
      <c r="K199" s="276">
        <f t="shared" si="14"/>
        <v>0</v>
      </c>
      <c r="L199" s="266"/>
      <c r="M199" s="76"/>
    </row>
    <row r="200" ht="24" spans="1:13">
      <c r="A200" s="252" t="s">
        <v>451</v>
      </c>
      <c r="B200" s="73" t="s">
        <v>133</v>
      </c>
      <c r="C200" s="73" t="s">
        <v>158</v>
      </c>
      <c r="D200" s="73" t="s">
        <v>166</v>
      </c>
      <c r="E200" s="74" t="s">
        <v>134</v>
      </c>
      <c r="F200" s="246"/>
      <c r="G200" s="75" t="s">
        <v>416</v>
      </c>
      <c r="H200" s="76">
        <f t="shared" ref="H200:H263" si="15">I200+J200+K200</f>
        <v>324.36</v>
      </c>
      <c r="I200" s="76">
        <f>336.94-12.58</f>
        <v>324.36</v>
      </c>
      <c r="J200" s="76"/>
      <c r="K200" s="76"/>
      <c r="L200" s="266"/>
      <c r="M200" s="76"/>
    </row>
    <row r="201" ht="36" spans="1:13">
      <c r="A201" s="252" t="s">
        <v>451</v>
      </c>
      <c r="B201" s="73" t="s">
        <v>133</v>
      </c>
      <c r="C201" s="73" t="s">
        <v>158</v>
      </c>
      <c r="D201" s="73" t="s">
        <v>166</v>
      </c>
      <c r="E201" s="74" t="s">
        <v>417</v>
      </c>
      <c r="F201" s="246"/>
      <c r="G201" s="75" t="s">
        <v>418</v>
      </c>
      <c r="H201" s="76">
        <f t="shared" si="15"/>
        <v>36.38</v>
      </c>
      <c r="I201" s="76">
        <f>23.8+12.58</f>
        <v>36.38</v>
      </c>
      <c r="J201" s="76"/>
      <c r="K201" s="76"/>
      <c r="L201" s="266"/>
      <c r="M201" s="79" t="s">
        <v>419</v>
      </c>
    </row>
    <row r="202" ht="24" spans="1:13">
      <c r="A202" s="252" t="s">
        <v>451</v>
      </c>
      <c r="B202" s="73" t="s">
        <v>133</v>
      </c>
      <c r="C202" s="73" t="s">
        <v>158</v>
      </c>
      <c r="D202" s="73" t="s">
        <v>452</v>
      </c>
      <c r="E202" s="74" t="s">
        <v>210</v>
      </c>
      <c r="F202" s="241" t="s">
        <v>210</v>
      </c>
      <c r="G202" s="75" t="s">
        <v>453</v>
      </c>
      <c r="H202" s="76">
        <f t="shared" si="15"/>
        <v>60</v>
      </c>
      <c r="I202" s="273">
        <v>60</v>
      </c>
      <c r="J202" s="76"/>
      <c r="K202" s="76"/>
      <c r="L202" s="292">
        <v>90</v>
      </c>
      <c r="M202" s="79" t="s">
        <v>454</v>
      </c>
    </row>
    <row r="203" ht="36" spans="1:13">
      <c r="A203" s="252" t="s">
        <v>455</v>
      </c>
      <c r="B203" s="73"/>
      <c r="C203" s="73"/>
      <c r="D203" s="73"/>
      <c r="E203" s="286"/>
      <c r="F203" s="246"/>
      <c r="G203" s="287"/>
      <c r="H203" s="76">
        <f t="shared" si="15"/>
        <v>318.22</v>
      </c>
      <c r="I203" s="276">
        <f t="shared" ref="I203:K203" si="16">SUM(I204:I207)</f>
        <v>318.22</v>
      </c>
      <c r="J203" s="276">
        <f t="shared" si="16"/>
        <v>0</v>
      </c>
      <c r="K203" s="276">
        <f t="shared" si="16"/>
        <v>0</v>
      </c>
      <c r="L203" s="266"/>
      <c r="M203" s="76"/>
    </row>
    <row r="204" ht="36" spans="1:13">
      <c r="A204" s="252" t="s">
        <v>455</v>
      </c>
      <c r="B204" s="73" t="s">
        <v>194</v>
      </c>
      <c r="C204" s="73" t="s">
        <v>166</v>
      </c>
      <c r="D204" s="73" t="s">
        <v>166</v>
      </c>
      <c r="E204" s="74" t="s">
        <v>134</v>
      </c>
      <c r="F204" s="246"/>
      <c r="G204" s="75" t="s">
        <v>416</v>
      </c>
      <c r="H204" s="76">
        <f t="shared" si="15"/>
        <v>276.88</v>
      </c>
      <c r="I204" s="76">
        <f>284.22-7.34</f>
        <v>276.88</v>
      </c>
      <c r="J204" s="76"/>
      <c r="K204" s="76"/>
      <c r="L204" s="266"/>
      <c r="M204" s="76"/>
    </row>
    <row r="205" ht="36" spans="1:13">
      <c r="A205" s="252" t="s">
        <v>455</v>
      </c>
      <c r="B205" s="73" t="s">
        <v>194</v>
      </c>
      <c r="C205" s="73" t="s">
        <v>166</v>
      </c>
      <c r="D205" s="73" t="s">
        <v>166</v>
      </c>
      <c r="E205" s="74" t="s">
        <v>417</v>
      </c>
      <c r="F205" s="246"/>
      <c r="G205" s="75" t="s">
        <v>418</v>
      </c>
      <c r="H205" s="76">
        <f t="shared" si="15"/>
        <v>21.34</v>
      </c>
      <c r="I205" s="76">
        <f>7.34+14</f>
        <v>21.34</v>
      </c>
      <c r="J205" s="76"/>
      <c r="K205" s="76"/>
      <c r="L205" s="266"/>
      <c r="M205" s="79" t="s">
        <v>419</v>
      </c>
    </row>
    <row r="206" ht="36" spans="1:13">
      <c r="A206" s="252" t="s">
        <v>455</v>
      </c>
      <c r="B206" s="73" t="s">
        <v>194</v>
      </c>
      <c r="C206" s="73" t="s">
        <v>166</v>
      </c>
      <c r="D206" s="73" t="s">
        <v>149</v>
      </c>
      <c r="E206" s="74" t="s">
        <v>210</v>
      </c>
      <c r="F206" s="241" t="s">
        <v>210</v>
      </c>
      <c r="G206" s="75" t="s">
        <v>456</v>
      </c>
      <c r="H206" s="76">
        <f t="shared" si="15"/>
        <v>15</v>
      </c>
      <c r="I206" s="76">
        <v>15</v>
      </c>
      <c r="J206" s="76"/>
      <c r="K206" s="76"/>
      <c r="L206" s="266">
        <v>18</v>
      </c>
      <c r="M206" s="80"/>
    </row>
    <row r="207" ht="36" spans="1:13">
      <c r="A207" s="75" t="s">
        <v>455</v>
      </c>
      <c r="B207" s="73" t="s">
        <v>194</v>
      </c>
      <c r="C207" s="73" t="s">
        <v>149</v>
      </c>
      <c r="D207" s="73" t="s">
        <v>149</v>
      </c>
      <c r="E207" s="74" t="s">
        <v>210</v>
      </c>
      <c r="F207" s="241" t="s">
        <v>210</v>
      </c>
      <c r="G207" s="75" t="s">
        <v>457</v>
      </c>
      <c r="H207" s="76">
        <f t="shared" si="15"/>
        <v>5</v>
      </c>
      <c r="I207" s="76">
        <v>5</v>
      </c>
      <c r="J207" s="76"/>
      <c r="K207" s="76"/>
      <c r="L207" s="266">
        <v>10</v>
      </c>
      <c r="M207" s="80"/>
    </row>
    <row r="208" ht="24" spans="1:13">
      <c r="A208" s="252" t="s">
        <v>458</v>
      </c>
      <c r="B208" s="73"/>
      <c r="C208" s="73"/>
      <c r="D208" s="73"/>
      <c r="E208" s="286"/>
      <c r="F208" s="246"/>
      <c r="G208" s="287"/>
      <c r="H208" s="76">
        <f t="shared" si="15"/>
        <v>806.47</v>
      </c>
      <c r="I208" s="276">
        <f t="shared" ref="I208:K208" si="17">SUM(I209:I211)</f>
        <v>806.47</v>
      </c>
      <c r="J208" s="276">
        <f t="shared" si="17"/>
        <v>0</v>
      </c>
      <c r="K208" s="276">
        <f t="shared" si="17"/>
        <v>0</v>
      </c>
      <c r="L208" s="266"/>
      <c r="M208" s="76"/>
    </row>
    <row r="209" ht="24" spans="1:13">
      <c r="A209" s="252" t="s">
        <v>458</v>
      </c>
      <c r="B209" s="73" t="s">
        <v>133</v>
      </c>
      <c r="C209" s="73" t="s">
        <v>179</v>
      </c>
      <c r="D209" s="73" t="s">
        <v>166</v>
      </c>
      <c r="E209" s="74" t="s">
        <v>134</v>
      </c>
      <c r="F209" s="246"/>
      <c r="G209" s="75" t="s">
        <v>416</v>
      </c>
      <c r="H209" s="76">
        <f t="shared" si="15"/>
        <v>534.45</v>
      </c>
      <c r="I209" s="76">
        <f>558.87-24.42</f>
        <v>534.45</v>
      </c>
      <c r="J209" s="76"/>
      <c r="K209" s="76"/>
      <c r="L209" s="266"/>
      <c r="M209" s="76"/>
    </row>
    <row r="210" ht="36" spans="1:13">
      <c r="A210" s="252" t="s">
        <v>458</v>
      </c>
      <c r="B210" s="73" t="s">
        <v>133</v>
      </c>
      <c r="C210" s="73" t="s">
        <v>179</v>
      </c>
      <c r="D210" s="73" t="s">
        <v>166</v>
      </c>
      <c r="E210" s="74" t="s">
        <v>417</v>
      </c>
      <c r="F210" s="246"/>
      <c r="G210" s="75" t="s">
        <v>418</v>
      </c>
      <c r="H210" s="76">
        <f t="shared" si="15"/>
        <v>72.02</v>
      </c>
      <c r="I210" s="76">
        <f>24.42+47.6</f>
        <v>72.02</v>
      </c>
      <c r="J210" s="76"/>
      <c r="K210" s="76"/>
      <c r="L210" s="266"/>
      <c r="M210" s="79" t="s">
        <v>419</v>
      </c>
    </row>
    <row r="211" ht="24" spans="1:13">
      <c r="A211" s="252" t="s">
        <v>458</v>
      </c>
      <c r="B211" s="73" t="s">
        <v>133</v>
      </c>
      <c r="C211" s="73" t="s">
        <v>179</v>
      </c>
      <c r="D211" s="73" t="s">
        <v>149</v>
      </c>
      <c r="E211" s="74" t="s">
        <v>210</v>
      </c>
      <c r="F211" s="241" t="s">
        <v>135</v>
      </c>
      <c r="G211" s="75" t="s">
        <v>459</v>
      </c>
      <c r="H211" s="76">
        <f t="shared" si="15"/>
        <v>200</v>
      </c>
      <c r="I211" s="76">
        <v>200</v>
      </c>
      <c r="J211" s="76"/>
      <c r="K211" s="76"/>
      <c r="L211" s="266">
        <v>239.6</v>
      </c>
      <c r="M211" s="77" t="s">
        <v>460</v>
      </c>
    </row>
    <row r="212" ht="24" spans="1:13">
      <c r="A212" s="252" t="s">
        <v>461</v>
      </c>
      <c r="B212" s="73"/>
      <c r="C212" s="73"/>
      <c r="D212" s="73"/>
      <c r="E212" s="286"/>
      <c r="F212" s="246"/>
      <c r="G212" s="287"/>
      <c r="H212" s="76">
        <f t="shared" si="15"/>
        <v>268.08</v>
      </c>
      <c r="I212" s="76">
        <f t="shared" ref="I212:K212" si="18">SUM(I213:I215)</f>
        <v>268.08</v>
      </c>
      <c r="J212" s="76">
        <f t="shared" si="18"/>
        <v>0</v>
      </c>
      <c r="K212" s="76">
        <f t="shared" si="18"/>
        <v>0</v>
      </c>
      <c r="L212" s="266"/>
      <c r="M212" s="76"/>
    </row>
    <row r="213" ht="24" spans="1:13">
      <c r="A213" s="252" t="s">
        <v>461</v>
      </c>
      <c r="B213" s="73" t="s">
        <v>133</v>
      </c>
      <c r="C213" s="73" t="s">
        <v>202</v>
      </c>
      <c r="D213" s="73" t="s">
        <v>166</v>
      </c>
      <c r="E213" s="74" t="s">
        <v>134</v>
      </c>
      <c r="F213" s="246"/>
      <c r="G213" s="75" t="s">
        <v>416</v>
      </c>
      <c r="H213" s="76">
        <f t="shared" si="15"/>
        <v>192.15</v>
      </c>
      <c r="I213" s="76">
        <f>201.28-9.13</f>
        <v>192.15</v>
      </c>
      <c r="J213" s="76"/>
      <c r="K213" s="76"/>
      <c r="L213" s="266"/>
      <c r="M213" s="76"/>
    </row>
    <row r="214" ht="36" spans="1:13">
      <c r="A214" s="252" t="s">
        <v>461</v>
      </c>
      <c r="B214" s="73" t="s">
        <v>133</v>
      </c>
      <c r="C214" s="73" t="s">
        <v>202</v>
      </c>
      <c r="D214" s="73" t="s">
        <v>166</v>
      </c>
      <c r="E214" s="74" t="s">
        <v>417</v>
      </c>
      <c r="F214" s="246"/>
      <c r="G214" s="75" t="s">
        <v>418</v>
      </c>
      <c r="H214" s="76">
        <f t="shared" si="15"/>
        <v>25.93</v>
      </c>
      <c r="I214" s="76">
        <f>9.13+16.8</f>
        <v>25.93</v>
      </c>
      <c r="J214" s="76"/>
      <c r="K214" s="76"/>
      <c r="L214" s="266"/>
      <c r="M214" s="79" t="s">
        <v>419</v>
      </c>
    </row>
    <row r="215" ht="24" spans="1:13">
      <c r="A215" s="252" t="s">
        <v>461</v>
      </c>
      <c r="B215" s="73" t="s">
        <v>133</v>
      </c>
      <c r="C215" s="73" t="s">
        <v>202</v>
      </c>
      <c r="D215" s="73" t="s">
        <v>158</v>
      </c>
      <c r="E215" s="74" t="s">
        <v>210</v>
      </c>
      <c r="F215" s="241" t="s">
        <v>210</v>
      </c>
      <c r="G215" s="75" t="s">
        <v>462</v>
      </c>
      <c r="H215" s="76">
        <f t="shared" si="15"/>
        <v>50</v>
      </c>
      <c r="I215" s="76">
        <v>50</v>
      </c>
      <c r="J215" s="76"/>
      <c r="K215" s="76"/>
      <c r="L215" s="266">
        <v>60</v>
      </c>
      <c r="M215" s="80"/>
    </row>
    <row r="216" ht="36" spans="1:13">
      <c r="A216" s="252" t="s">
        <v>463</v>
      </c>
      <c r="B216" s="73"/>
      <c r="C216" s="73"/>
      <c r="D216" s="73"/>
      <c r="E216" s="286"/>
      <c r="F216" s="246"/>
      <c r="G216" s="287"/>
      <c r="H216" s="76">
        <f t="shared" si="15"/>
        <v>841.69</v>
      </c>
      <c r="I216" s="76">
        <f t="shared" ref="I216:K216" si="19">SUM(I217:I219)</f>
        <v>829.94</v>
      </c>
      <c r="J216" s="76">
        <f t="shared" si="19"/>
        <v>11.75</v>
      </c>
      <c r="K216" s="76">
        <f t="shared" si="19"/>
        <v>0</v>
      </c>
      <c r="L216" s="266"/>
      <c r="M216" s="76"/>
    </row>
    <row r="217" ht="36" spans="1:13">
      <c r="A217" s="252" t="s">
        <v>463</v>
      </c>
      <c r="B217" s="73" t="s">
        <v>262</v>
      </c>
      <c r="C217" s="73" t="s">
        <v>166</v>
      </c>
      <c r="D217" s="73" t="s">
        <v>166</v>
      </c>
      <c r="E217" s="74" t="s">
        <v>134</v>
      </c>
      <c r="F217" s="246"/>
      <c r="G217" s="75" t="s">
        <v>416</v>
      </c>
      <c r="H217" s="76">
        <f t="shared" si="15"/>
        <v>674.36</v>
      </c>
      <c r="I217" s="76">
        <f>698.49-24.13</f>
        <v>674.36</v>
      </c>
      <c r="J217" s="76"/>
      <c r="K217" s="76"/>
      <c r="L217" s="266"/>
      <c r="M217" s="76"/>
    </row>
    <row r="218" ht="36" spans="1:13">
      <c r="A218" s="252" t="s">
        <v>463</v>
      </c>
      <c r="B218" s="73" t="s">
        <v>262</v>
      </c>
      <c r="C218" s="73" t="s">
        <v>166</v>
      </c>
      <c r="D218" s="73" t="s">
        <v>166</v>
      </c>
      <c r="E218" s="74" t="s">
        <v>417</v>
      </c>
      <c r="F218" s="246"/>
      <c r="G218" s="75" t="s">
        <v>418</v>
      </c>
      <c r="H218" s="76">
        <f t="shared" si="15"/>
        <v>70.33</v>
      </c>
      <c r="I218" s="76">
        <f>24.13+46.2</f>
        <v>70.33</v>
      </c>
      <c r="J218" s="76"/>
      <c r="K218" s="76"/>
      <c r="L218" s="266"/>
      <c r="M218" s="79" t="s">
        <v>419</v>
      </c>
    </row>
    <row r="219" ht="52.8" spans="1:13">
      <c r="A219" s="252" t="s">
        <v>463</v>
      </c>
      <c r="B219" s="73" t="s">
        <v>262</v>
      </c>
      <c r="C219" s="73" t="s">
        <v>166</v>
      </c>
      <c r="D219" s="73" t="s">
        <v>142</v>
      </c>
      <c r="E219" s="74" t="s">
        <v>210</v>
      </c>
      <c r="F219" s="241" t="s">
        <v>210</v>
      </c>
      <c r="G219" s="75" t="s">
        <v>464</v>
      </c>
      <c r="H219" s="76">
        <f t="shared" si="15"/>
        <v>97</v>
      </c>
      <c r="I219" s="283">
        <v>85.25</v>
      </c>
      <c r="J219" s="276">
        <v>11.75</v>
      </c>
      <c r="K219" s="76"/>
      <c r="L219" s="266">
        <v>15</v>
      </c>
      <c r="M219" s="79" t="s">
        <v>465</v>
      </c>
    </row>
    <row r="220" ht="24" spans="1:13">
      <c r="A220" s="252" t="s">
        <v>466</v>
      </c>
      <c r="B220" s="73"/>
      <c r="C220" s="73"/>
      <c r="D220" s="73"/>
      <c r="E220" s="286"/>
      <c r="F220" s="246"/>
      <c r="G220" s="287"/>
      <c r="H220" s="76">
        <f t="shared" si="15"/>
        <v>485.29</v>
      </c>
      <c r="I220" s="76">
        <f>SUM(I221:I222)</f>
        <v>485.29</v>
      </c>
      <c r="J220" s="76">
        <f>SUM(J221:J221)</f>
        <v>0</v>
      </c>
      <c r="K220" s="76">
        <f>SUM(K221:K221)</f>
        <v>0</v>
      </c>
      <c r="L220" s="266"/>
      <c r="M220" s="76"/>
    </row>
    <row r="221" ht="24" spans="1:13">
      <c r="A221" s="252" t="s">
        <v>466</v>
      </c>
      <c r="B221" s="73" t="s">
        <v>133</v>
      </c>
      <c r="C221" s="73" t="s">
        <v>201</v>
      </c>
      <c r="D221" s="73" t="s">
        <v>166</v>
      </c>
      <c r="E221" s="74" t="s">
        <v>134</v>
      </c>
      <c r="F221" s="246"/>
      <c r="G221" s="75" t="s">
        <v>416</v>
      </c>
      <c r="H221" s="76">
        <f t="shared" si="15"/>
        <v>448.41</v>
      </c>
      <c r="I221" s="76">
        <f>461.49-13.08</f>
        <v>448.41</v>
      </c>
      <c r="J221" s="76"/>
      <c r="K221" s="76"/>
      <c r="L221" s="266"/>
      <c r="M221" s="76"/>
    </row>
    <row r="222" ht="36" spans="1:13">
      <c r="A222" s="252" t="s">
        <v>466</v>
      </c>
      <c r="B222" s="73" t="s">
        <v>133</v>
      </c>
      <c r="C222" s="73" t="s">
        <v>201</v>
      </c>
      <c r="D222" s="73" t="s">
        <v>166</v>
      </c>
      <c r="E222" s="74" t="s">
        <v>417</v>
      </c>
      <c r="F222" s="246"/>
      <c r="G222" s="75" t="s">
        <v>418</v>
      </c>
      <c r="H222" s="76">
        <f t="shared" si="15"/>
        <v>36.88</v>
      </c>
      <c r="I222" s="76">
        <f>13.08+23.8</f>
        <v>36.88</v>
      </c>
      <c r="J222" s="76"/>
      <c r="K222" s="76"/>
      <c r="L222" s="266"/>
      <c r="M222" s="79" t="s">
        <v>419</v>
      </c>
    </row>
    <row r="223" ht="24" spans="1:13">
      <c r="A223" s="252" t="s">
        <v>467</v>
      </c>
      <c r="B223" s="73"/>
      <c r="C223" s="73"/>
      <c r="D223" s="73"/>
      <c r="E223" s="286"/>
      <c r="F223" s="246"/>
      <c r="G223" s="287"/>
      <c r="H223" s="76">
        <f t="shared" si="15"/>
        <v>430.74</v>
      </c>
      <c r="I223" s="76">
        <f t="shared" ref="I223:K223" si="20">SUM(I224:I226)</f>
        <v>430.74</v>
      </c>
      <c r="J223" s="76">
        <f t="shared" si="20"/>
        <v>0</v>
      </c>
      <c r="K223" s="76">
        <f t="shared" si="20"/>
        <v>0</v>
      </c>
      <c r="L223" s="266"/>
      <c r="M223" s="76"/>
    </row>
    <row r="224" ht="24" spans="1:13">
      <c r="A224" s="252" t="s">
        <v>467</v>
      </c>
      <c r="B224" s="73" t="s">
        <v>165</v>
      </c>
      <c r="C224" s="73" t="s">
        <v>179</v>
      </c>
      <c r="D224" s="73" t="s">
        <v>166</v>
      </c>
      <c r="E224" s="74" t="s">
        <v>134</v>
      </c>
      <c r="F224" s="246"/>
      <c r="G224" s="75" t="s">
        <v>416</v>
      </c>
      <c r="H224" s="76">
        <f t="shared" si="15"/>
        <v>378.82</v>
      </c>
      <c r="I224" s="76">
        <f>395.54-16.72</f>
        <v>378.82</v>
      </c>
      <c r="J224" s="76"/>
      <c r="K224" s="76"/>
      <c r="L224" s="266"/>
      <c r="M224" s="76"/>
    </row>
    <row r="225" ht="36" spans="1:13">
      <c r="A225" s="252" t="s">
        <v>467</v>
      </c>
      <c r="B225" s="73" t="s">
        <v>165</v>
      </c>
      <c r="C225" s="73" t="s">
        <v>179</v>
      </c>
      <c r="D225" s="73" t="s">
        <v>166</v>
      </c>
      <c r="E225" s="74" t="s">
        <v>417</v>
      </c>
      <c r="F225" s="246"/>
      <c r="G225" s="75" t="s">
        <v>418</v>
      </c>
      <c r="H225" s="76">
        <f t="shared" si="15"/>
        <v>48.92</v>
      </c>
      <c r="I225" s="76">
        <f>16.72+32.2</f>
        <v>48.92</v>
      </c>
      <c r="J225" s="76"/>
      <c r="K225" s="76"/>
      <c r="L225" s="266"/>
      <c r="M225" s="79" t="s">
        <v>419</v>
      </c>
    </row>
    <row r="226" ht="24" spans="1:13">
      <c r="A226" s="252" t="s">
        <v>467</v>
      </c>
      <c r="B226" s="73" t="s">
        <v>165</v>
      </c>
      <c r="C226" s="73" t="s">
        <v>179</v>
      </c>
      <c r="D226" s="73" t="s">
        <v>166</v>
      </c>
      <c r="E226" s="74" t="s">
        <v>210</v>
      </c>
      <c r="F226" s="241" t="s">
        <v>210</v>
      </c>
      <c r="G226" s="75" t="s">
        <v>422</v>
      </c>
      <c r="H226" s="76">
        <f t="shared" si="15"/>
        <v>3</v>
      </c>
      <c r="I226" s="76">
        <v>3</v>
      </c>
      <c r="J226" s="76"/>
      <c r="K226" s="76"/>
      <c r="L226" s="266">
        <v>3</v>
      </c>
      <c r="M226" s="80"/>
    </row>
    <row r="227" ht="24" spans="1:13">
      <c r="A227" s="252" t="s">
        <v>468</v>
      </c>
      <c r="B227" s="73"/>
      <c r="C227" s="73"/>
      <c r="D227" s="73"/>
      <c r="E227" s="286"/>
      <c r="F227" s="246"/>
      <c r="G227" s="287"/>
      <c r="H227" s="76">
        <f t="shared" si="15"/>
        <v>183.23</v>
      </c>
      <c r="I227" s="76">
        <f>SUM(I228:I229)</f>
        <v>183.23</v>
      </c>
      <c r="J227" s="76">
        <f>SUM(J228:J228)</f>
        <v>0</v>
      </c>
      <c r="K227" s="76">
        <f>SUM(K228:K228)</f>
        <v>0</v>
      </c>
      <c r="L227" s="266"/>
      <c r="M227" s="76"/>
    </row>
    <row r="228" ht="24" spans="1:13">
      <c r="A228" s="252" t="s">
        <v>468</v>
      </c>
      <c r="B228" s="73" t="s">
        <v>248</v>
      </c>
      <c r="C228" s="73" t="s">
        <v>166</v>
      </c>
      <c r="D228" s="73" t="s">
        <v>166</v>
      </c>
      <c r="E228" s="74" t="s">
        <v>134</v>
      </c>
      <c r="F228" s="246"/>
      <c r="G228" s="75" t="s">
        <v>416</v>
      </c>
      <c r="H228" s="76">
        <f t="shared" si="15"/>
        <v>167.81</v>
      </c>
      <c r="I228" s="76">
        <f>173.43-5.62</f>
        <v>167.81</v>
      </c>
      <c r="J228" s="76"/>
      <c r="K228" s="76"/>
      <c r="L228" s="266"/>
      <c r="M228" s="76"/>
    </row>
    <row r="229" ht="36" spans="1:13">
      <c r="A229" s="252" t="s">
        <v>468</v>
      </c>
      <c r="B229" s="73" t="s">
        <v>248</v>
      </c>
      <c r="C229" s="73" t="s">
        <v>166</v>
      </c>
      <c r="D229" s="73" t="s">
        <v>166</v>
      </c>
      <c r="E229" s="74" t="s">
        <v>417</v>
      </c>
      <c r="F229" s="246"/>
      <c r="G229" s="75" t="s">
        <v>418</v>
      </c>
      <c r="H229" s="76">
        <f t="shared" si="15"/>
        <v>15.42</v>
      </c>
      <c r="I229" s="76">
        <f>5.62+9.8</f>
        <v>15.42</v>
      </c>
      <c r="J229" s="76"/>
      <c r="K229" s="76"/>
      <c r="L229" s="266"/>
      <c r="M229" s="79" t="s">
        <v>419</v>
      </c>
    </row>
    <row r="230" ht="24" spans="1:13">
      <c r="A230" s="252" t="s">
        <v>469</v>
      </c>
      <c r="B230" s="73"/>
      <c r="C230" s="73"/>
      <c r="D230" s="73"/>
      <c r="E230" s="286"/>
      <c r="F230" s="246"/>
      <c r="G230" s="287"/>
      <c r="H230" s="76">
        <f t="shared" si="15"/>
        <v>221.73</v>
      </c>
      <c r="I230" s="76">
        <f>SUM(I231:I232)</f>
        <v>221.73</v>
      </c>
      <c r="J230" s="76">
        <f>SUM(J231:J231)</f>
        <v>0</v>
      </c>
      <c r="K230" s="76">
        <f>SUM(K231:K231)</f>
        <v>0</v>
      </c>
      <c r="L230" s="266"/>
      <c r="M230" s="76"/>
    </row>
    <row r="231" ht="24" spans="1:13">
      <c r="A231" s="252" t="s">
        <v>469</v>
      </c>
      <c r="B231" s="73" t="s">
        <v>252</v>
      </c>
      <c r="C231" s="73" t="s">
        <v>166</v>
      </c>
      <c r="D231" s="73" t="s">
        <v>166</v>
      </c>
      <c r="E231" s="74" t="s">
        <v>134</v>
      </c>
      <c r="F231" s="246"/>
      <c r="G231" s="75" t="s">
        <v>416</v>
      </c>
      <c r="H231" s="76">
        <f t="shared" si="15"/>
        <v>196.66</v>
      </c>
      <c r="I231" s="76">
        <f>206.33-9.67</f>
        <v>196.66</v>
      </c>
      <c r="J231" s="76"/>
      <c r="K231" s="76"/>
      <c r="L231" s="266"/>
      <c r="M231" s="76"/>
    </row>
    <row r="232" ht="36" spans="1:13">
      <c r="A232" s="252" t="s">
        <v>469</v>
      </c>
      <c r="B232" s="73" t="s">
        <v>252</v>
      </c>
      <c r="C232" s="73" t="s">
        <v>166</v>
      </c>
      <c r="D232" s="73" t="s">
        <v>166</v>
      </c>
      <c r="E232" s="74" t="s">
        <v>417</v>
      </c>
      <c r="F232" s="246"/>
      <c r="G232" s="75" t="s">
        <v>418</v>
      </c>
      <c r="H232" s="76">
        <f t="shared" si="15"/>
        <v>25.07</v>
      </c>
      <c r="I232" s="76">
        <f>9.67+15.4</f>
        <v>25.07</v>
      </c>
      <c r="J232" s="76"/>
      <c r="K232" s="76"/>
      <c r="L232" s="266"/>
      <c r="M232" s="79" t="s">
        <v>419</v>
      </c>
    </row>
    <row r="233" ht="24" spans="1:13">
      <c r="A233" s="252" t="s">
        <v>470</v>
      </c>
      <c r="B233" s="73"/>
      <c r="C233" s="73"/>
      <c r="D233" s="73"/>
      <c r="E233" s="286"/>
      <c r="F233" s="246"/>
      <c r="G233" s="287"/>
      <c r="H233" s="76">
        <f t="shared" si="15"/>
        <v>135.42</v>
      </c>
      <c r="I233" s="76">
        <f>SUM(I234:I235)</f>
        <v>135.42</v>
      </c>
      <c r="J233" s="76">
        <f>SUM(J234:J234)</f>
        <v>0</v>
      </c>
      <c r="K233" s="76">
        <f>SUM(K234:K234)</f>
        <v>0</v>
      </c>
      <c r="L233" s="266"/>
      <c r="M233" s="76"/>
    </row>
    <row r="234" ht="24" spans="1:13">
      <c r="A234" s="252" t="s">
        <v>470</v>
      </c>
      <c r="B234" s="73" t="s">
        <v>133</v>
      </c>
      <c r="C234" s="73" t="s">
        <v>145</v>
      </c>
      <c r="D234" s="73" t="s">
        <v>166</v>
      </c>
      <c r="E234" s="74" t="s">
        <v>134</v>
      </c>
      <c r="F234" s="246"/>
      <c r="G234" s="75" t="s">
        <v>416</v>
      </c>
      <c r="H234" s="76">
        <f t="shared" si="15"/>
        <v>118.56</v>
      </c>
      <c r="I234" s="76">
        <f>124.22-5.66</f>
        <v>118.56</v>
      </c>
      <c r="J234" s="76"/>
      <c r="K234" s="76"/>
      <c r="L234" s="266"/>
      <c r="M234" s="76"/>
    </row>
    <row r="235" ht="36" spans="1:13">
      <c r="A235" s="252" t="s">
        <v>470</v>
      </c>
      <c r="B235" s="73" t="s">
        <v>133</v>
      </c>
      <c r="C235" s="73" t="s">
        <v>145</v>
      </c>
      <c r="D235" s="73" t="s">
        <v>166</v>
      </c>
      <c r="E235" s="74" t="s">
        <v>417</v>
      </c>
      <c r="F235" s="246"/>
      <c r="G235" s="75" t="s">
        <v>418</v>
      </c>
      <c r="H235" s="76">
        <f t="shared" si="15"/>
        <v>16.86</v>
      </c>
      <c r="I235" s="76">
        <f>11.2+5.66</f>
        <v>16.86</v>
      </c>
      <c r="J235" s="76"/>
      <c r="K235" s="76"/>
      <c r="L235" s="266"/>
      <c r="M235" s="79" t="s">
        <v>419</v>
      </c>
    </row>
    <row r="236" ht="24" spans="1:13">
      <c r="A236" s="252" t="s">
        <v>471</v>
      </c>
      <c r="B236" s="73"/>
      <c r="C236" s="73"/>
      <c r="D236" s="73"/>
      <c r="E236" s="286"/>
      <c r="F236" s="246"/>
      <c r="G236" s="287"/>
      <c r="H236" s="76">
        <f t="shared" si="15"/>
        <v>223.91</v>
      </c>
      <c r="I236" s="76">
        <f>SUM(I237:I238)</f>
        <v>223.91</v>
      </c>
      <c r="J236" s="76">
        <f>SUM(J237:J237)</f>
        <v>0</v>
      </c>
      <c r="K236" s="76">
        <f>SUM(K237:K237)</f>
        <v>0</v>
      </c>
      <c r="L236" s="266"/>
      <c r="M236" s="76"/>
    </row>
    <row r="237" ht="24" spans="1:13">
      <c r="A237" s="252" t="s">
        <v>471</v>
      </c>
      <c r="B237" s="73" t="s">
        <v>133</v>
      </c>
      <c r="C237" s="73" t="s">
        <v>142</v>
      </c>
      <c r="D237" s="73" t="s">
        <v>166</v>
      </c>
      <c r="E237" s="74" t="s">
        <v>134</v>
      </c>
      <c r="F237" s="246"/>
      <c r="G237" s="75" t="s">
        <v>416</v>
      </c>
      <c r="H237" s="76">
        <f t="shared" si="15"/>
        <v>200.43</v>
      </c>
      <c r="I237" s="76">
        <f>208.51-8.08</f>
        <v>200.43</v>
      </c>
      <c r="J237" s="76"/>
      <c r="K237" s="76"/>
      <c r="L237" s="266"/>
      <c r="M237" s="76"/>
    </row>
    <row r="238" ht="36" spans="1:13">
      <c r="A238" s="252" t="s">
        <v>471</v>
      </c>
      <c r="B238" s="73" t="s">
        <v>133</v>
      </c>
      <c r="C238" s="73" t="s">
        <v>142</v>
      </c>
      <c r="D238" s="73" t="s">
        <v>166</v>
      </c>
      <c r="E238" s="74" t="s">
        <v>417</v>
      </c>
      <c r="F238" s="246"/>
      <c r="G238" s="75" t="s">
        <v>418</v>
      </c>
      <c r="H238" s="76">
        <f t="shared" si="15"/>
        <v>23.48</v>
      </c>
      <c r="I238" s="76">
        <f>8.08+15.4</f>
        <v>23.48</v>
      </c>
      <c r="J238" s="76"/>
      <c r="K238" s="76"/>
      <c r="L238" s="266"/>
      <c r="M238" s="79" t="s">
        <v>419</v>
      </c>
    </row>
    <row r="239" ht="24" spans="1:13">
      <c r="A239" s="252" t="s">
        <v>472</v>
      </c>
      <c r="B239" s="73"/>
      <c r="C239" s="73"/>
      <c r="D239" s="73"/>
      <c r="E239" s="286"/>
      <c r="F239" s="246"/>
      <c r="G239" s="287"/>
      <c r="H239" s="76">
        <f t="shared" si="15"/>
        <v>2005.98</v>
      </c>
      <c r="I239" s="76">
        <f t="shared" ref="I239:K239" si="21">SUM(I240:I242)</f>
        <v>2005.98</v>
      </c>
      <c r="J239" s="76">
        <f t="shared" si="21"/>
        <v>0</v>
      </c>
      <c r="K239" s="76">
        <f t="shared" si="21"/>
        <v>0</v>
      </c>
      <c r="L239" s="266"/>
      <c r="M239" s="76"/>
    </row>
    <row r="240" ht="24" spans="1:13">
      <c r="A240" s="252" t="s">
        <v>472</v>
      </c>
      <c r="B240" s="73" t="s">
        <v>133</v>
      </c>
      <c r="C240" s="73" t="s">
        <v>258</v>
      </c>
      <c r="D240" s="73" t="s">
        <v>166</v>
      </c>
      <c r="E240" s="74" t="s">
        <v>134</v>
      </c>
      <c r="F240" s="246"/>
      <c r="G240" s="75" t="s">
        <v>416</v>
      </c>
      <c r="H240" s="76">
        <f t="shared" si="15"/>
        <v>1505.88</v>
      </c>
      <c r="I240" s="76">
        <f>1586.68-80.8</f>
        <v>1505.88</v>
      </c>
      <c r="J240" s="76"/>
      <c r="K240" s="76"/>
      <c r="L240" s="266"/>
      <c r="M240" s="76"/>
    </row>
    <row r="241" ht="36" spans="1:13">
      <c r="A241" s="252" t="s">
        <v>472</v>
      </c>
      <c r="B241" s="73" t="s">
        <v>133</v>
      </c>
      <c r="C241" s="73" t="s">
        <v>258</v>
      </c>
      <c r="D241" s="73" t="s">
        <v>166</v>
      </c>
      <c r="E241" s="74" t="s">
        <v>417</v>
      </c>
      <c r="F241" s="246"/>
      <c r="G241" s="75" t="s">
        <v>418</v>
      </c>
      <c r="H241" s="76">
        <f t="shared" si="15"/>
        <v>232</v>
      </c>
      <c r="I241" s="76">
        <f>151.2+80.8</f>
        <v>232</v>
      </c>
      <c r="J241" s="76"/>
      <c r="K241" s="76"/>
      <c r="L241" s="266"/>
      <c r="M241" s="79" t="s">
        <v>419</v>
      </c>
    </row>
    <row r="242" ht="24" spans="1:13">
      <c r="A242" s="252" t="s">
        <v>472</v>
      </c>
      <c r="B242" s="73" t="s">
        <v>133</v>
      </c>
      <c r="C242" s="73" t="s">
        <v>258</v>
      </c>
      <c r="D242" s="73" t="s">
        <v>145</v>
      </c>
      <c r="E242" s="74" t="s">
        <v>210</v>
      </c>
      <c r="F242" s="241" t="s">
        <v>210</v>
      </c>
      <c r="G242" s="75" t="s">
        <v>473</v>
      </c>
      <c r="H242" s="76">
        <f t="shared" si="15"/>
        <v>268.1</v>
      </c>
      <c r="I242" s="76">
        <v>268.1</v>
      </c>
      <c r="J242" s="76"/>
      <c r="K242" s="76"/>
      <c r="L242" s="266">
        <v>278.1</v>
      </c>
      <c r="M242" s="80"/>
    </row>
    <row r="243" ht="24" spans="1:13">
      <c r="A243" s="252" t="s">
        <v>474</v>
      </c>
      <c r="B243" s="73"/>
      <c r="C243" s="73"/>
      <c r="D243" s="73"/>
      <c r="E243" s="286"/>
      <c r="F243" s="246"/>
      <c r="G243" s="287"/>
      <c r="H243" s="76">
        <f t="shared" si="15"/>
        <v>137.24</v>
      </c>
      <c r="I243" s="76">
        <f t="shared" ref="I243:K243" si="22">SUM(I244:I246)</f>
        <v>137.24</v>
      </c>
      <c r="J243" s="76">
        <f t="shared" si="22"/>
        <v>0</v>
      </c>
      <c r="K243" s="76">
        <f t="shared" si="22"/>
        <v>0</v>
      </c>
      <c r="L243" s="266"/>
      <c r="M243" s="76"/>
    </row>
    <row r="244" ht="24" spans="1:13">
      <c r="A244" s="252" t="s">
        <v>474</v>
      </c>
      <c r="B244" s="73" t="s">
        <v>262</v>
      </c>
      <c r="C244" s="73" t="s">
        <v>268</v>
      </c>
      <c r="D244" s="73" t="s">
        <v>166</v>
      </c>
      <c r="E244" s="74" t="s">
        <v>134</v>
      </c>
      <c r="F244" s="246"/>
      <c r="G244" s="75" t="s">
        <v>416</v>
      </c>
      <c r="H244" s="76">
        <f t="shared" si="15"/>
        <v>118.48</v>
      </c>
      <c r="I244" s="76">
        <f>124.44-5.96</f>
        <v>118.48</v>
      </c>
      <c r="J244" s="76"/>
      <c r="K244" s="76"/>
      <c r="L244" s="266"/>
      <c r="M244" s="76"/>
    </row>
    <row r="245" ht="36" spans="1:13">
      <c r="A245" s="252" t="s">
        <v>474</v>
      </c>
      <c r="B245" s="73" t="s">
        <v>262</v>
      </c>
      <c r="C245" s="73" t="s">
        <v>268</v>
      </c>
      <c r="D245" s="73" t="s">
        <v>166</v>
      </c>
      <c r="E245" s="74" t="s">
        <v>417</v>
      </c>
      <c r="F245" s="246"/>
      <c r="G245" s="75" t="s">
        <v>418</v>
      </c>
      <c r="H245" s="76">
        <f t="shared" si="15"/>
        <v>15.76</v>
      </c>
      <c r="I245" s="76">
        <f>9.8+5.96</f>
        <v>15.76</v>
      </c>
      <c r="J245" s="76"/>
      <c r="K245" s="76"/>
      <c r="L245" s="266"/>
      <c r="M245" s="79" t="s">
        <v>419</v>
      </c>
    </row>
    <row r="246" ht="24" spans="1:13">
      <c r="A246" s="252" t="s">
        <v>474</v>
      </c>
      <c r="B246" s="73" t="s">
        <v>262</v>
      </c>
      <c r="C246" s="73" t="s">
        <v>268</v>
      </c>
      <c r="D246" s="73" t="s">
        <v>166</v>
      </c>
      <c r="E246" s="74" t="s">
        <v>210</v>
      </c>
      <c r="F246" s="241" t="s">
        <v>210</v>
      </c>
      <c r="G246" s="75" t="s">
        <v>475</v>
      </c>
      <c r="H246" s="76">
        <f t="shared" si="15"/>
        <v>3</v>
      </c>
      <c r="I246" s="279">
        <v>3</v>
      </c>
      <c r="J246" s="76"/>
      <c r="K246" s="76"/>
      <c r="L246" s="266">
        <v>3</v>
      </c>
      <c r="M246" s="281"/>
    </row>
    <row r="247" ht="24" spans="1:13">
      <c r="A247" s="252" t="s">
        <v>476</v>
      </c>
      <c r="B247" s="73"/>
      <c r="C247" s="73"/>
      <c r="D247" s="73"/>
      <c r="E247" s="286"/>
      <c r="F247" s="246"/>
      <c r="G247" s="287"/>
      <c r="H247" s="76">
        <f t="shared" si="15"/>
        <v>440.32</v>
      </c>
      <c r="I247" s="76">
        <f t="shared" ref="I247:K247" si="23">SUM(I248:I251)</f>
        <v>440.32</v>
      </c>
      <c r="J247" s="76">
        <f t="shared" si="23"/>
        <v>0</v>
      </c>
      <c r="K247" s="76">
        <f t="shared" si="23"/>
        <v>0</v>
      </c>
      <c r="L247" s="266"/>
      <c r="M247" s="76"/>
    </row>
    <row r="248" ht="24" spans="1:13">
      <c r="A248" s="252" t="s">
        <v>476</v>
      </c>
      <c r="B248" s="73" t="s">
        <v>133</v>
      </c>
      <c r="C248" s="73" t="s">
        <v>145</v>
      </c>
      <c r="D248" s="73" t="s">
        <v>166</v>
      </c>
      <c r="E248" s="74" t="s">
        <v>134</v>
      </c>
      <c r="F248" s="246"/>
      <c r="G248" s="75" t="s">
        <v>416</v>
      </c>
      <c r="H248" s="76">
        <f t="shared" si="15"/>
        <v>189.93</v>
      </c>
      <c r="I248" s="76">
        <f>195.59-5.66</f>
        <v>189.93</v>
      </c>
      <c r="J248" s="76"/>
      <c r="K248" s="76"/>
      <c r="L248" s="266"/>
      <c r="M248" s="76"/>
    </row>
    <row r="249" ht="36" spans="1:13">
      <c r="A249" s="252" t="s">
        <v>476</v>
      </c>
      <c r="B249" s="73" t="s">
        <v>133</v>
      </c>
      <c r="C249" s="73" t="s">
        <v>145</v>
      </c>
      <c r="D249" s="73" t="s">
        <v>166</v>
      </c>
      <c r="E249" s="74" t="s">
        <v>417</v>
      </c>
      <c r="F249" s="246"/>
      <c r="G249" s="75" t="s">
        <v>418</v>
      </c>
      <c r="H249" s="76">
        <f t="shared" si="15"/>
        <v>16.86</v>
      </c>
      <c r="I249" s="76">
        <f>11.2+5.66</f>
        <v>16.86</v>
      </c>
      <c r="J249" s="76"/>
      <c r="K249" s="76"/>
      <c r="L249" s="266"/>
      <c r="M249" s="79" t="s">
        <v>419</v>
      </c>
    </row>
    <row r="250" ht="26.4" spans="1:13">
      <c r="A250" s="252" t="s">
        <v>476</v>
      </c>
      <c r="B250" s="73" t="s">
        <v>133</v>
      </c>
      <c r="C250" s="73" t="s">
        <v>145</v>
      </c>
      <c r="D250" s="73" t="s">
        <v>149</v>
      </c>
      <c r="E250" s="74" t="s">
        <v>210</v>
      </c>
      <c r="F250" s="241" t="s">
        <v>210</v>
      </c>
      <c r="G250" s="75" t="s">
        <v>477</v>
      </c>
      <c r="H250" s="76">
        <f t="shared" si="15"/>
        <v>30.23</v>
      </c>
      <c r="I250" s="76">
        <v>30.23</v>
      </c>
      <c r="J250" s="76"/>
      <c r="K250" s="76"/>
      <c r="L250" s="266">
        <v>32.23</v>
      </c>
      <c r="M250" s="77" t="s">
        <v>478</v>
      </c>
    </row>
    <row r="251" ht="51.6" spans="1:13">
      <c r="A251" s="252" t="s">
        <v>476</v>
      </c>
      <c r="B251" s="73" t="s">
        <v>133</v>
      </c>
      <c r="C251" s="73" t="s">
        <v>145</v>
      </c>
      <c r="D251" s="73" t="s">
        <v>149</v>
      </c>
      <c r="E251" s="74" t="s">
        <v>210</v>
      </c>
      <c r="F251" s="241" t="s">
        <v>210</v>
      </c>
      <c r="G251" s="75" t="s">
        <v>479</v>
      </c>
      <c r="H251" s="76">
        <f t="shared" si="15"/>
        <v>203.3</v>
      </c>
      <c r="I251" s="76">
        <v>203.3</v>
      </c>
      <c r="J251" s="76"/>
      <c r="K251" s="76"/>
      <c r="L251" s="266">
        <v>601.09</v>
      </c>
      <c r="M251" s="77" t="s">
        <v>480</v>
      </c>
    </row>
    <row r="252" ht="24" spans="1:13">
      <c r="A252" s="252" t="s">
        <v>481</v>
      </c>
      <c r="B252" s="73"/>
      <c r="C252" s="73"/>
      <c r="D252" s="73"/>
      <c r="E252" s="286"/>
      <c r="F252" s="246"/>
      <c r="G252" s="287"/>
      <c r="H252" s="76">
        <f t="shared" si="15"/>
        <v>128.5</v>
      </c>
      <c r="I252" s="76">
        <f t="shared" ref="I252:K252" si="24">SUM(I253:I255)</f>
        <v>128.5</v>
      </c>
      <c r="J252" s="76">
        <f t="shared" si="24"/>
        <v>0</v>
      </c>
      <c r="K252" s="76">
        <f t="shared" si="24"/>
        <v>0</v>
      </c>
      <c r="L252" s="266"/>
      <c r="M252" s="76"/>
    </row>
    <row r="253" ht="24" spans="1:13">
      <c r="A253" s="252" t="s">
        <v>481</v>
      </c>
      <c r="B253" s="73" t="s">
        <v>347</v>
      </c>
      <c r="C253" s="73" t="s">
        <v>166</v>
      </c>
      <c r="D253" s="73" t="s">
        <v>166</v>
      </c>
      <c r="E253" s="74" t="s">
        <v>134</v>
      </c>
      <c r="F253" s="246"/>
      <c r="G253" s="75" t="s">
        <v>416</v>
      </c>
      <c r="H253" s="76">
        <f t="shared" si="15"/>
        <v>110.74</v>
      </c>
      <c r="I253" s="76">
        <f>115.7-4.96</f>
        <v>110.74</v>
      </c>
      <c r="J253" s="76"/>
      <c r="K253" s="76"/>
      <c r="L253" s="266"/>
      <c r="M253" s="76"/>
    </row>
    <row r="254" ht="36" spans="1:13">
      <c r="A254" s="252" t="s">
        <v>481</v>
      </c>
      <c r="B254" s="73" t="s">
        <v>347</v>
      </c>
      <c r="C254" s="73" t="s">
        <v>166</v>
      </c>
      <c r="D254" s="73" t="s">
        <v>166</v>
      </c>
      <c r="E254" s="74" t="s">
        <v>417</v>
      </c>
      <c r="F254" s="246"/>
      <c r="G254" s="75" t="s">
        <v>418</v>
      </c>
      <c r="H254" s="76">
        <f t="shared" si="15"/>
        <v>14.76</v>
      </c>
      <c r="I254" s="76">
        <f>4.96+9.8</f>
        <v>14.76</v>
      </c>
      <c r="J254" s="76"/>
      <c r="K254" s="76"/>
      <c r="L254" s="266"/>
      <c r="M254" s="79" t="s">
        <v>419</v>
      </c>
    </row>
    <row r="255" ht="24" spans="1:13">
      <c r="A255" s="252" t="s">
        <v>481</v>
      </c>
      <c r="B255" s="73" t="s">
        <v>347</v>
      </c>
      <c r="C255" s="73" t="s">
        <v>166</v>
      </c>
      <c r="D255" s="73" t="s">
        <v>166</v>
      </c>
      <c r="E255" s="74" t="s">
        <v>210</v>
      </c>
      <c r="F255" s="241" t="s">
        <v>210</v>
      </c>
      <c r="G255" s="75" t="s">
        <v>473</v>
      </c>
      <c r="H255" s="76">
        <f t="shared" si="15"/>
        <v>3</v>
      </c>
      <c r="I255" s="76">
        <v>3</v>
      </c>
      <c r="J255" s="76"/>
      <c r="K255" s="76"/>
      <c r="L255" s="266">
        <v>7.66</v>
      </c>
      <c r="M255" s="80"/>
    </row>
    <row r="256" ht="24" spans="1:13">
      <c r="A256" s="252" t="s">
        <v>482</v>
      </c>
      <c r="B256" s="73"/>
      <c r="C256" s="73"/>
      <c r="D256" s="73"/>
      <c r="E256" s="286"/>
      <c r="F256" s="246"/>
      <c r="G256" s="287"/>
      <c r="H256" s="76">
        <f t="shared" si="15"/>
        <v>126.42</v>
      </c>
      <c r="I256" s="76">
        <f>SUM(I257:I258)</f>
        <v>126.42</v>
      </c>
      <c r="J256" s="76">
        <f>SUM(J96:J96)</f>
        <v>0</v>
      </c>
      <c r="K256" s="76">
        <f>SUM(K96:K96)</f>
        <v>0</v>
      </c>
      <c r="L256" s="266"/>
      <c r="M256" s="76"/>
    </row>
    <row r="257" ht="24" spans="1:13">
      <c r="A257" s="252" t="s">
        <v>482</v>
      </c>
      <c r="B257" s="243">
        <v>210</v>
      </c>
      <c r="C257" s="243">
        <v>15</v>
      </c>
      <c r="D257" s="73" t="s">
        <v>166</v>
      </c>
      <c r="E257" s="74" t="s">
        <v>134</v>
      </c>
      <c r="F257" s="246"/>
      <c r="G257" s="75" t="s">
        <v>416</v>
      </c>
      <c r="H257" s="76">
        <f t="shared" si="15"/>
        <v>109.63</v>
      </c>
      <c r="I257" s="76">
        <f>115.22-5.59</f>
        <v>109.63</v>
      </c>
      <c r="J257" s="76"/>
      <c r="K257" s="76"/>
      <c r="L257" s="266"/>
      <c r="M257" s="76"/>
    </row>
    <row r="258" ht="36" spans="1:13">
      <c r="A258" s="252" t="s">
        <v>482</v>
      </c>
      <c r="B258" s="243">
        <v>210</v>
      </c>
      <c r="C258" s="243">
        <v>15</v>
      </c>
      <c r="D258" s="73" t="s">
        <v>166</v>
      </c>
      <c r="E258" s="74" t="s">
        <v>417</v>
      </c>
      <c r="F258" s="246"/>
      <c r="G258" s="75" t="s">
        <v>418</v>
      </c>
      <c r="H258" s="76">
        <f t="shared" si="15"/>
        <v>16.79</v>
      </c>
      <c r="I258" s="76">
        <f>11.2+5.59</f>
        <v>16.79</v>
      </c>
      <c r="J258" s="76"/>
      <c r="K258" s="76"/>
      <c r="L258" s="266"/>
      <c r="M258" s="79" t="s">
        <v>419</v>
      </c>
    </row>
    <row r="259" ht="36" spans="1:13">
      <c r="A259" s="252" t="s">
        <v>483</v>
      </c>
      <c r="B259" s="73"/>
      <c r="C259" s="73"/>
      <c r="D259" s="73"/>
      <c r="E259" s="286"/>
      <c r="F259" s="246"/>
      <c r="G259" s="287"/>
      <c r="H259" s="76">
        <f t="shared" si="15"/>
        <v>112.95</v>
      </c>
      <c r="I259" s="76">
        <f>SUM(I260:I261)</f>
        <v>112.95</v>
      </c>
      <c r="J259" s="76">
        <f>SUM(J260:J260)</f>
        <v>0</v>
      </c>
      <c r="K259" s="76">
        <f>SUM(K260:K260)</f>
        <v>0</v>
      </c>
      <c r="L259" s="266"/>
      <c r="M259" s="76"/>
    </row>
    <row r="260" ht="36" spans="1:13">
      <c r="A260" s="252" t="s">
        <v>483</v>
      </c>
      <c r="B260" s="73" t="s">
        <v>133</v>
      </c>
      <c r="C260" s="73" t="s">
        <v>145</v>
      </c>
      <c r="D260" s="73" t="s">
        <v>166</v>
      </c>
      <c r="E260" s="74" t="s">
        <v>134</v>
      </c>
      <c r="F260" s="246"/>
      <c r="G260" s="75" t="s">
        <v>416</v>
      </c>
      <c r="H260" s="76">
        <f t="shared" si="15"/>
        <v>98.63</v>
      </c>
      <c r="I260" s="76">
        <f>104.55-5.92</f>
        <v>98.63</v>
      </c>
      <c r="J260" s="76"/>
      <c r="K260" s="76"/>
      <c r="L260" s="266"/>
      <c r="M260" s="76"/>
    </row>
    <row r="261" ht="36" spans="1:13">
      <c r="A261" s="252" t="s">
        <v>483</v>
      </c>
      <c r="B261" s="73" t="s">
        <v>133</v>
      </c>
      <c r="C261" s="73" t="s">
        <v>145</v>
      </c>
      <c r="D261" s="73" t="s">
        <v>166</v>
      </c>
      <c r="E261" s="74" t="s">
        <v>417</v>
      </c>
      <c r="F261" s="246"/>
      <c r="G261" s="75" t="s">
        <v>418</v>
      </c>
      <c r="H261" s="76">
        <f t="shared" si="15"/>
        <v>14.32</v>
      </c>
      <c r="I261" s="76">
        <f>5.92+8.4</f>
        <v>14.32</v>
      </c>
      <c r="J261" s="76"/>
      <c r="K261" s="76"/>
      <c r="L261" s="266"/>
      <c r="M261" s="79" t="s">
        <v>419</v>
      </c>
    </row>
    <row r="262" ht="36" spans="1:13">
      <c r="A262" s="252" t="s">
        <v>484</v>
      </c>
      <c r="B262" s="73"/>
      <c r="C262" s="73"/>
      <c r="D262" s="73"/>
      <c r="E262" s="286"/>
      <c r="F262" s="246"/>
      <c r="G262" s="287"/>
      <c r="H262" s="76">
        <f t="shared" si="15"/>
        <v>420.2</v>
      </c>
      <c r="I262" s="76">
        <f t="shared" ref="I262:K262" si="25">SUM(I263:I265)</f>
        <v>420.2</v>
      </c>
      <c r="J262" s="76">
        <f t="shared" si="25"/>
        <v>0</v>
      </c>
      <c r="K262" s="76">
        <f t="shared" si="25"/>
        <v>0</v>
      </c>
      <c r="L262" s="266"/>
      <c r="M262" s="76"/>
    </row>
    <row r="263" ht="36" spans="1:13">
      <c r="A263" s="252" t="s">
        <v>484</v>
      </c>
      <c r="B263" s="73" t="s">
        <v>194</v>
      </c>
      <c r="C263" s="73" t="s">
        <v>166</v>
      </c>
      <c r="D263" s="73" t="s">
        <v>166</v>
      </c>
      <c r="E263" s="74" t="s">
        <v>134</v>
      </c>
      <c r="F263" s="246"/>
      <c r="G263" s="75" t="s">
        <v>416</v>
      </c>
      <c r="H263" s="76">
        <f t="shared" si="15"/>
        <v>339.76</v>
      </c>
      <c r="I263" s="76">
        <f>356.6-16.84</f>
        <v>339.76</v>
      </c>
      <c r="J263" s="76"/>
      <c r="K263" s="76"/>
      <c r="L263" s="266"/>
      <c r="M263" s="76"/>
    </row>
    <row r="264" ht="36" spans="1:13">
      <c r="A264" s="252" t="s">
        <v>484</v>
      </c>
      <c r="B264" s="73" t="s">
        <v>194</v>
      </c>
      <c r="C264" s="73" t="s">
        <v>166</v>
      </c>
      <c r="D264" s="73" t="s">
        <v>166</v>
      </c>
      <c r="E264" s="74" t="s">
        <v>417</v>
      </c>
      <c r="F264" s="246"/>
      <c r="G264" s="75" t="s">
        <v>418</v>
      </c>
      <c r="H264" s="76">
        <f t="shared" ref="H264:H327" si="26">I264+J264+K264</f>
        <v>47.64</v>
      </c>
      <c r="I264" s="76">
        <f>16.84+30.8</f>
        <v>47.64</v>
      </c>
      <c r="J264" s="76"/>
      <c r="K264" s="76"/>
      <c r="L264" s="266"/>
      <c r="M264" s="79" t="s">
        <v>419</v>
      </c>
    </row>
    <row r="265" ht="36" spans="1:13">
      <c r="A265" s="252" t="s">
        <v>484</v>
      </c>
      <c r="B265" s="73" t="s">
        <v>194</v>
      </c>
      <c r="C265" s="73" t="s">
        <v>166</v>
      </c>
      <c r="D265" s="73" t="s">
        <v>166</v>
      </c>
      <c r="E265" s="74" t="s">
        <v>210</v>
      </c>
      <c r="F265" s="241" t="s">
        <v>210</v>
      </c>
      <c r="G265" s="75" t="s">
        <v>473</v>
      </c>
      <c r="H265" s="76">
        <f t="shared" si="26"/>
        <v>32.8</v>
      </c>
      <c r="I265" s="76">
        <v>32.8</v>
      </c>
      <c r="J265" s="76"/>
      <c r="K265" s="76"/>
      <c r="L265" s="266">
        <v>32.8</v>
      </c>
      <c r="M265" s="77" t="s">
        <v>485</v>
      </c>
    </row>
    <row r="266" ht="24" spans="1:13">
      <c r="A266" s="252" t="s">
        <v>486</v>
      </c>
      <c r="B266" s="73"/>
      <c r="C266" s="73"/>
      <c r="D266" s="73"/>
      <c r="E266" s="286"/>
      <c r="F266" s="246"/>
      <c r="G266" s="287"/>
      <c r="H266" s="76">
        <f t="shared" si="26"/>
        <v>72.59</v>
      </c>
      <c r="I266" s="76">
        <f>SUM(I267:I268)</f>
        <v>72.59</v>
      </c>
      <c r="J266" s="76">
        <f>SUM(J267:J267)</f>
        <v>0</v>
      </c>
      <c r="K266" s="76">
        <f>SUM(K267:K267)</f>
        <v>0</v>
      </c>
      <c r="L266" s="266"/>
      <c r="M266" s="76"/>
    </row>
    <row r="267" ht="24" spans="1:13">
      <c r="A267" s="252" t="s">
        <v>486</v>
      </c>
      <c r="B267" s="73" t="s">
        <v>194</v>
      </c>
      <c r="C267" s="73" t="s">
        <v>166</v>
      </c>
      <c r="D267" s="73" t="s">
        <v>166</v>
      </c>
      <c r="E267" s="74" t="s">
        <v>134</v>
      </c>
      <c r="F267" s="246"/>
      <c r="G267" s="75" t="s">
        <v>416</v>
      </c>
      <c r="H267" s="76">
        <f t="shared" si="26"/>
        <v>62</v>
      </c>
      <c r="I267" s="76">
        <f>65.59-3.59</f>
        <v>62</v>
      </c>
      <c r="J267" s="76"/>
      <c r="K267" s="76"/>
      <c r="L267" s="266"/>
      <c r="M267" s="76"/>
    </row>
    <row r="268" ht="36" spans="1:13">
      <c r="A268" s="252" t="s">
        <v>486</v>
      </c>
      <c r="B268" s="73" t="s">
        <v>194</v>
      </c>
      <c r="C268" s="73" t="s">
        <v>166</v>
      </c>
      <c r="D268" s="73" t="s">
        <v>166</v>
      </c>
      <c r="E268" s="74" t="s">
        <v>417</v>
      </c>
      <c r="F268" s="246"/>
      <c r="G268" s="75" t="s">
        <v>418</v>
      </c>
      <c r="H268" s="76">
        <f t="shared" si="26"/>
        <v>10.59</v>
      </c>
      <c r="I268" s="76">
        <f>7+3.59</f>
        <v>10.59</v>
      </c>
      <c r="J268" s="76"/>
      <c r="K268" s="76"/>
      <c r="L268" s="266"/>
      <c r="M268" s="79" t="s">
        <v>419</v>
      </c>
    </row>
    <row r="269" ht="24" spans="1:13">
      <c r="A269" s="252" t="s">
        <v>487</v>
      </c>
      <c r="B269" s="73"/>
      <c r="C269" s="73"/>
      <c r="D269" s="73"/>
      <c r="E269" s="286"/>
      <c r="F269" s="246"/>
      <c r="G269" s="287"/>
      <c r="H269" s="76">
        <f t="shared" si="26"/>
        <v>95.39</v>
      </c>
      <c r="I269" s="76">
        <f t="shared" ref="I269:K269" si="27">SUM(I270:I272)</f>
        <v>95.39</v>
      </c>
      <c r="J269" s="76">
        <f t="shared" si="27"/>
        <v>0</v>
      </c>
      <c r="K269" s="76">
        <f t="shared" si="27"/>
        <v>0</v>
      </c>
      <c r="L269" s="266"/>
      <c r="M269" s="76"/>
    </row>
    <row r="270" ht="24" spans="1:13">
      <c r="A270" s="252" t="s">
        <v>487</v>
      </c>
      <c r="B270" s="73" t="s">
        <v>248</v>
      </c>
      <c r="C270" s="73" t="s">
        <v>166</v>
      </c>
      <c r="D270" s="73" t="s">
        <v>166</v>
      </c>
      <c r="E270" s="74" t="s">
        <v>134</v>
      </c>
      <c r="F270" s="246"/>
      <c r="G270" s="75" t="s">
        <v>416</v>
      </c>
      <c r="H270" s="76">
        <f t="shared" si="26"/>
        <v>82.03</v>
      </c>
      <c r="I270" s="76">
        <f>82.79-0.76</f>
        <v>82.03</v>
      </c>
      <c r="J270" s="76"/>
      <c r="K270" s="76"/>
      <c r="L270" s="266"/>
      <c r="M270" s="76"/>
    </row>
    <row r="271" ht="36" spans="1:13">
      <c r="A271" s="252" t="s">
        <v>487</v>
      </c>
      <c r="B271" s="73" t="s">
        <v>248</v>
      </c>
      <c r="C271" s="73" t="s">
        <v>166</v>
      </c>
      <c r="D271" s="73" t="s">
        <v>166</v>
      </c>
      <c r="E271" s="74" t="s">
        <v>417</v>
      </c>
      <c r="F271" s="246"/>
      <c r="G271" s="75" t="s">
        <v>418</v>
      </c>
      <c r="H271" s="76">
        <f t="shared" si="26"/>
        <v>6.36</v>
      </c>
      <c r="I271" s="76">
        <f>0.76+5.6</f>
        <v>6.36</v>
      </c>
      <c r="J271" s="76"/>
      <c r="K271" s="76"/>
      <c r="L271" s="266"/>
      <c r="M271" s="79" t="s">
        <v>419</v>
      </c>
    </row>
    <row r="272" ht="24" spans="1:13">
      <c r="A272" s="252" t="s">
        <v>487</v>
      </c>
      <c r="B272" s="73" t="s">
        <v>248</v>
      </c>
      <c r="C272" s="73" t="s">
        <v>166</v>
      </c>
      <c r="D272" s="73" t="s">
        <v>202</v>
      </c>
      <c r="E272" s="74" t="s">
        <v>210</v>
      </c>
      <c r="F272" s="241" t="s">
        <v>210</v>
      </c>
      <c r="G272" s="75" t="s">
        <v>488</v>
      </c>
      <c r="H272" s="76">
        <f t="shared" si="26"/>
        <v>7</v>
      </c>
      <c r="I272" s="76">
        <v>7</v>
      </c>
      <c r="J272" s="76"/>
      <c r="K272" s="76"/>
      <c r="L272" s="266">
        <v>10</v>
      </c>
      <c r="M272" s="80"/>
    </row>
    <row r="273" ht="24" spans="1:13">
      <c r="A273" s="252" t="s">
        <v>489</v>
      </c>
      <c r="B273" s="73"/>
      <c r="C273" s="73"/>
      <c r="D273" s="73"/>
      <c r="E273" s="286"/>
      <c r="F273" s="246"/>
      <c r="G273" s="287"/>
      <c r="H273" s="76">
        <f t="shared" si="26"/>
        <v>534.99</v>
      </c>
      <c r="I273" s="76">
        <f t="shared" ref="I273:K273" si="28">SUM(I274:I279)</f>
        <v>436.99</v>
      </c>
      <c r="J273" s="76">
        <f t="shared" si="28"/>
        <v>98</v>
      </c>
      <c r="K273" s="76">
        <f t="shared" si="28"/>
        <v>0</v>
      </c>
      <c r="L273" s="266"/>
      <c r="M273" s="76"/>
    </row>
    <row r="274" ht="24" spans="1:13">
      <c r="A274" s="252" t="s">
        <v>489</v>
      </c>
      <c r="B274" s="73" t="s">
        <v>336</v>
      </c>
      <c r="C274" s="73" t="s">
        <v>149</v>
      </c>
      <c r="D274" s="73" t="s">
        <v>149</v>
      </c>
      <c r="E274" s="74" t="s">
        <v>134</v>
      </c>
      <c r="F274" s="246"/>
      <c r="G274" s="75" t="s">
        <v>416</v>
      </c>
      <c r="H274" s="76">
        <f t="shared" si="26"/>
        <v>170.53</v>
      </c>
      <c r="I274" s="76">
        <f>178.59-8.06</f>
        <v>170.53</v>
      </c>
      <c r="J274" s="76"/>
      <c r="K274" s="76"/>
      <c r="L274" s="266"/>
      <c r="M274" s="76"/>
    </row>
    <row r="275" ht="36" spans="1:13">
      <c r="A275" s="252" t="s">
        <v>489</v>
      </c>
      <c r="B275" s="73" t="s">
        <v>336</v>
      </c>
      <c r="C275" s="73" t="s">
        <v>149</v>
      </c>
      <c r="D275" s="73" t="s">
        <v>149</v>
      </c>
      <c r="E275" s="74" t="s">
        <v>417</v>
      </c>
      <c r="F275" s="246"/>
      <c r="G275" s="75" t="s">
        <v>418</v>
      </c>
      <c r="H275" s="76">
        <f t="shared" si="26"/>
        <v>22.06</v>
      </c>
      <c r="I275" s="76">
        <f>8.06+14</f>
        <v>22.06</v>
      </c>
      <c r="J275" s="76"/>
      <c r="K275" s="76"/>
      <c r="L275" s="266"/>
      <c r="M275" s="79" t="s">
        <v>419</v>
      </c>
    </row>
    <row r="276" ht="24" spans="1:13">
      <c r="A276" s="252" t="s">
        <v>489</v>
      </c>
      <c r="B276" s="73" t="s">
        <v>336</v>
      </c>
      <c r="C276" s="73" t="s">
        <v>149</v>
      </c>
      <c r="D276" s="73" t="s">
        <v>149</v>
      </c>
      <c r="E276" s="74" t="s">
        <v>210</v>
      </c>
      <c r="F276" s="241" t="s">
        <v>210</v>
      </c>
      <c r="G276" s="75" t="s">
        <v>490</v>
      </c>
      <c r="H276" s="76">
        <f t="shared" si="26"/>
        <v>26</v>
      </c>
      <c r="I276" s="76">
        <v>26</v>
      </c>
      <c r="J276" s="76"/>
      <c r="K276" s="76"/>
      <c r="L276" s="266">
        <v>33</v>
      </c>
      <c r="M276" s="80"/>
    </row>
    <row r="277" ht="24" spans="1:13">
      <c r="A277" s="252" t="s">
        <v>489</v>
      </c>
      <c r="B277" s="73" t="s">
        <v>336</v>
      </c>
      <c r="C277" s="73" t="s">
        <v>149</v>
      </c>
      <c r="D277" s="73" t="s">
        <v>149</v>
      </c>
      <c r="E277" s="74" t="s">
        <v>210</v>
      </c>
      <c r="F277" s="241" t="s">
        <v>210</v>
      </c>
      <c r="G277" s="75" t="s">
        <v>491</v>
      </c>
      <c r="H277" s="76">
        <f t="shared" si="26"/>
        <v>114.4</v>
      </c>
      <c r="I277" s="76">
        <v>114.4</v>
      </c>
      <c r="J277" s="76"/>
      <c r="K277" s="76"/>
      <c r="L277" s="266">
        <v>130</v>
      </c>
      <c r="M277" s="80" t="s">
        <v>492</v>
      </c>
    </row>
    <row r="278" ht="24" spans="1:13">
      <c r="A278" s="252" t="s">
        <v>489</v>
      </c>
      <c r="B278" s="73" t="s">
        <v>336</v>
      </c>
      <c r="C278" s="73" t="s">
        <v>149</v>
      </c>
      <c r="D278" s="73" t="s">
        <v>149</v>
      </c>
      <c r="E278" s="74" t="s">
        <v>210</v>
      </c>
      <c r="F278" s="241" t="s">
        <v>210</v>
      </c>
      <c r="G278" s="75" t="s">
        <v>493</v>
      </c>
      <c r="H278" s="76">
        <f t="shared" si="26"/>
        <v>104</v>
      </c>
      <c r="I278" s="76">
        <v>104</v>
      </c>
      <c r="J278" s="76"/>
      <c r="K278" s="76"/>
      <c r="L278" s="266">
        <v>130</v>
      </c>
      <c r="M278" s="80" t="s">
        <v>494</v>
      </c>
    </row>
    <row r="279" ht="24" spans="1:13">
      <c r="A279" s="252" t="s">
        <v>489</v>
      </c>
      <c r="B279" s="73" t="s">
        <v>336</v>
      </c>
      <c r="C279" s="73" t="s">
        <v>149</v>
      </c>
      <c r="D279" s="73" t="s">
        <v>149</v>
      </c>
      <c r="E279" s="74" t="s">
        <v>210</v>
      </c>
      <c r="F279" s="241" t="s">
        <v>210</v>
      </c>
      <c r="G279" s="75" t="s">
        <v>495</v>
      </c>
      <c r="H279" s="76">
        <f t="shared" si="26"/>
        <v>98</v>
      </c>
      <c r="I279" s="76"/>
      <c r="J279" s="76">
        <v>98</v>
      </c>
      <c r="K279" s="76"/>
      <c r="L279" s="266"/>
      <c r="M279" s="80"/>
    </row>
    <row r="280" ht="24" spans="1:13">
      <c r="A280" s="252" t="s">
        <v>496</v>
      </c>
      <c r="B280" s="73"/>
      <c r="C280" s="73"/>
      <c r="D280" s="73"/>
      <c r="E280" s="286"/>
      <c r="F280" s="246"/>
      <c r="G280" s="287"/>
      <c r="H280" s="76">
        <f t="shared" si="26"/>
        <v>2951.09</v>
      </c>
      <c r="I280" s="76">
        <f t="shared" ref="I280:K280" si="29">SUM(I281:I286)</f>
        <v>2911.09</v>
      </c>
      <c r="J280" s="76">
        <f t="shared" si="29"/>
        <v>40</v>
      </c>
      <c r="K280" s="76">
        <f t="shared" si="29"/>
        <v>0</v>
      </c>
      <c r="L280" s="266"/>
      <c r="M280" s="76"/>
    </row>
    <row r="281" ht="24" spans="1:13">
      <c r="A281" s="252" t="s">
        <v>496</v>
      </c>
      <c r="B281" s="73" t="s">
        <v>133</v>
      </c>
      <c r="C281" s="73" t="s">
        <v>145</v>
      </c>
      <c r="D281" s="73" t="s">
        <v>166</v>
      </c>
      <c r="E281" s="74" t="s">
        <v>134</v>
      </c>
      <c r="F281" s="246"/>
      <c r="G281" s="75" t="s">
        <v>416</v>
      </c>
      <c r="H281" s="76">
        <f t="shared" si="26"/>
        <v>422.22</v>
      </c>
      <c r="I281" s="76">
        <f>436.09-13.87</f>
        <v>422.22</v>
      </c>
      <c r="J281" s="76"/>
      <c r="K281" s="76"/>
      <c r="L281" s="266"/>
      <c r="M281" s="76"/>
    </row>
    <row r="282" ht="36" spans="1:13">
      <c r="A282" s="252" t="s">
        <v>496</v>
      </c>
      <c r="B282" s="73" t="s">
        <v>133</v>
      </c>
      <c r="C282" s="73" t="s">
        <v>145</v>
      </c>
      <c r="D282" s="73" t="s">
        <v>166</v>
      </c>
      <c r="E282" s="74" t="s">
        <v>417</v>
      </c>
      <c r="F282" s="246"/>
      <c r="G282" s="75" t="s">
        <v>418</v>
      </c>
      <c r="H282" s="76">
        <f t="shared" si="26"/>
        <v>41.87</v>
      </c>
      <c r="I282" s="76">
        <f>13.87+28</f>
        <v>41.87</v>
      </c>
      <c r="J282" s="76"/>
      <c r="K282" s="76"/>
      <c r="L282" s="266"/>
      <c r="M282" s="79" t="s">
        <v>419</v>
      </c>
    </row>
    <row r="283" ht="39.6" spans="1:13">
      <c r="A283" s="252" t="s">
        <v>496</v>
      </c>
      <c r="B283" s="73" t="s">
        <v>133</v>
      </c>
      <c r="C283" s="73" t="s">
        <v>145</v>
      </c>
      <c r="D283" s="73" t="s">
        <v>166</v>
      </c>
      <c r="E283" s="74" t="s">
        <v>210</v>
      </c>
      <c r="F283" s="241" t="s">
        <v>210</v>
      </c>
      <c r="G283" s="75" t="s">
        <v>497</v>
      </c>
      <c r="H283" s="76">
        <f t="shared" si="26"/>
        <v>299</v>
      </c>
      <c r="I283" s="76">
        <v>299</v>
      </c>
      <c r="J283" s="76"/>
      <c r="K283" s="76"/>
      <c r="L283" s="266">
        <v>313.35</v>
      </c>
      <c r="M283" s="79" t="s">
        <v>498</v>
      </c>
    </row>
    <row r="284" ht="24" spans="1:13">
      <c r="A284" s="252" t="s">
        <v>496</v>
      </c>
      <c r="B284" s="73" t="s">
        <v>133</v>
      </c>
      <c r="C284" s="73" t="s">
        <v>145</v>
      </c>
      <c r="D284" s="73" t="s">
        <v>166</v>
      </c>
      <c r="E284" s="74" t="s">
        <v>210</v>
      </c>
      <c r="F284" s="241" t="s">
        <v>210</v>
      </c>
      <c r="G284" s="75" t="s">
        <v>499</v>
      </c>
      <c r="H284" s="76">
        <f t="shared" si="26"/>
        <v>40</v>
      </c>
      <c r="I284" s="76"/>
      <c r="J284" s="76">
        <v>40</v>
      </c>
      <c r="K284" s="76"/>
      <c r="L284" s="266"/>
      <c r="M284" s="80"/>
    </row>
    <row r="285" ht="24" spans="1:13">
      <c r="A285" s="252" t="s">
        <v>496</v>
      </c>
      <c r="B285" s="73" t="s">
        <v>133</v>
      </c>
      <c r="C285" s="73" t="s">
        <v>145</v>
      </c>
      <c r="D285" s="73" t="s">
        <v>166</v>
      </c>
      <c r="E285" s="74" t="s">
        <v>210</v>
      </c>
      <c r="F285" s="241" t="s">
        <v>210</v>
      </c>
      <c r="G285" s="75" t="s">
        <v>500</v>
      </c>
      <c r="H285" s="76">
        <f t="shared" si="26"/>
        <v>8</v>
      </c>
      <c r="I285" s="76">
        <v>8</v>
      </c>
      <c r="J285" s="76"/>
      <c r="K285" s="76"/>
      <c r="L285" s="266">
        <v>8</v>
      </c>
      <c r="M285" s="80"/>
    </row>
    <row r="286" ht="24" spans="1:13">
      <c r="A286" s="252" t="s">
        <v>496</v>
      </c>
      <c r="B286" s="73" t="s">
        <v>133</v>
      </c>
      <c r="C286" s="73" t="s">
        <v>145</v>
      </c>
      <c r="D286" s="73" t="s">
        <v>166</v>
      </c>
      <c r="E286" s="74" t="s">
        <v>210</v>
      </c>
      <c r="F286" s="241" t="s">
        <v>210</v>
      </c>
      <c r="G286" s="75" t="s">
        <v>501</v>
      </c>
      <c r="H286" s="76">
        <f t="shared" si="26"/>
        <v>2140</v>
      </c>
      <c r="I286" s="76">
        <v>2140</v>
      </c>
      <c r="J286" s="76"/>
      <c r="K286" s="76"/>
      <c r="L286" s="266">
        <v>2031.41</v>
      </c>
      <c r="M286" s="79" t="s">
        <v>286</v>
      </c>
    </row>
    <row r="287" ht="36" spans="1:13">
      <c r="A287" s="252" t="s">
        <v>502</v>
      </c>
      <c r="B287" s="73"/>
      <c r="C287" s="73"/>
      <c r="D287" s="73"/>
      <c r="E287" s="286"/>
      <c r="F287" s="246"/>
      <c r="G287" s="287"/>
      <c r="H287" s="76">
        <f t="shared" si="26"/>
        <v>169.13</v>
      </c>
      <c r="I287" s="76">
        <f t="shared" ref="I287:K287" si="30">SUM(I288:I290)</f>
        <v>69.13</v>
      </c>
      <c r="J287" s="76">
        <f t="shared" si="30"/>
        <v>100</v>
      </c>
      <c r="K287" s="76">
        <f t="shared" si="30"/>
        <v>0</v>
      </c>
      <c r="L287" s="266"/>
      <c r="M287" s="76"/>
    </row>
    <row r="288" ht="36" spans="1:13">
      <c r="A288" s="252" t="s">
        <v>502</v>
      </c>
      <c r="B288" s="73" t="s">
        <v>133</v>
      </c>
      <c r="C288" s="73" t="s">
        <v>145</v>
      </c>
      <c r="D288" s="73" t="s">
        <v>166</v>
      </c>
      <c r="E288" s="74" t="s">
        <v>134</v>
      </c>
      <c r="F288" s="246"/>
      <c r="G288" s="75" t="s">
        <v>416</v>
      </c>
      <c r="H288" s="76">
        <f t="shared" si="26"/>
        <v>60.43</v>
      </c>
      <c r="I288" s="76">
        <f>63.53-3.1</f>
        <v>60.43</v>
      </c>
      <c r="J288" s="76"/>
      <c r="K288" s="76"/>
      <c r="L288" s="266"/>
      <c r="M288" s="76"/>
    </row>
    <row r="289" ht="36" spans="1:13">
      <c r="A289" s="252" t="s">
        <v>502</v>
      </c>
      <c r="B289" s="73" t="s">
        <v>133</v>
      </c>
      <c r="C289" s="73" t="s">
        <v>145</v>
      </c>
      <c r="D289" s="73" t="s">
        <v>166</v>
      </c>
      <c r="E289" s="74" t="s">
        <v>417</v>
      </c>
      <c r="F289" s="246"/>
      <c r="G289" s="75" t="s">
        <v>418</v>
      </c>
      <c r="H289" s="76">
        <f t="shared" si="26"/>
        <v>8.7</v>
      </c>
      <c r="I289" s="76">
        <f>3.1+5.6</f>
        <v>8.7</v>
      </c>
      <c r="J289" s="76"/>
      <c r="K289" s="76"/>
      <c r="L289" s="266"/>
      <c r="M289" s="79" t="s">
        <v>419</v>
      </c>
    </row>
    <row r="290" ht="36" spans="1:13">
      <c r="A290" s="252" t="s">
        <v>502</v>
      </c>
      <c r="B290" s="73" t="s">
        <v>133</v>
      </c>
      <c r="C290" s="73" t="s">
        <v>145</v>
      </c>
      <c r="D290" s="73" t="s">
        <v>149</v>
      </c>
      <c r="E290" s="74" t="s">
        <v>210</v>
      </c>
      <c r="F290" s="241" t="s">
        <v>210</v>
      </c>
      <c r="G290" s="75" t="s">
        <v>503</v>
      </c>
      <c r="H290" s="76">
        <f t="shared" si="26"/>
        <v>100</v>
      </c>
      <c r="I290" s="76"/>
      <c r="J290" s="76">
        <v>100</v>
      </c>
      <c r="K290" s="76"/>
      <c r="L290" s="266"/>
      <c r="M290" s="80"/>
    </row>
    <row r="291" ht="36" spans="1:13">
      <c r="A291" s="252" t="s">
        <v>504</v>
      </c>
      <c r="B291" s="73"/>
      <c r="C291" s="73"/>
      <c r="D291" s="73"/>
      <c r="E291" s="286"/>
      <c r="F291" s="246"/>
      <c r="G291" s="287"/>
      <c r="H291" s="76">
        <f t="shared" si="26"/>
        <v>100.98</v>
      </c>
      <c r="I291" s="76">
        <f t="shared" ref="I291:K291" si="31">SUM(I292:I294)</f>
        <v>100.18</v>
      </c>
      <c r="J291" s="76">
        <f t="shared" si="31"/>
        <v>0.8</v>
      </c>
      <c r="K291" s="76">
        <f t="shared" si="31"/>
        <v>0</v>
      </c>
      <c r="L291" s="266"/>
      <c r="M291" s="76"/>
    </row>
    <row r="292" ht="36" spans="1:13">
      <c r="A292" s="252" t="s">
        <v>504</v>
      </c>
      <c r="B292" s="73" t="s">
        <v>133</v>
      </c>
      <c r="C292" s="73" t="s">
        <v>145</v>
      </c>
      <c r="D292" s="73" t="s">
        <v>166</v>
      </c>
      <c r="E292" s="74" t="s">
        <v>134</v>
      </c>
      <c r="F292" s="246"/>
      <c r="G292" s="75" t="s">
        <v>416</v>
      </c>
      <c r="H292" s="76">
        <f t="shared" si="26"/>
        <v>79.22</v>
      </c>
      <c r="I292" s="76">
        <f>83.78-4.56</f>
        <v>79.22</v>
      </c>
      <c r="J292" s="76"/>
      <c r="K292" s="76"/>
      <c r="L292" s="266"/>
      <c r="M292" s="76"/>
    </row>
    <row r="293" ht="36" spans="1:13">
      <c r="A293" s="252" t="s">
        <v>504</v>
      </c>
      <c r="B293" s="73" t="s">
        <v>133</v>
      </c>
      <c r="C293" s="73" t="s">
        <v>145</v>
      </c>
      <c r="D293" s="73" t="s">
        <v>166</v>
      </c>
      <c r="E293" s="74" t="s">
        <v>417</v>
      </c>
      <c r="F293" s="246"/>
      <c r="G293" s="75" t="s">
        <v>418</v>
      </c>
      <c r="H293" s="76">
        <f t="shared" si="26"/>
        <v>12.96</v>
      </c>
      <c r="I293" s="76">
        <f>4.56+8.4</f>
        <v>12.96</v>
      </c>
      <c r="J293" s="76"/>
      <c r="K293" s="76"/>
      <c r="L293" s="266"/>
      <c r="M293" s="79" t="s">
        <v>419</v>
      </c>
    </row>
    <row r="294" ht="36" spans="1:13">
      <c r="A294" s="252" t="s">
        <v>504</v>
      </c>
      <c r="B294" s="73" t="s">
        <v>133</v>
      </c>
      <c r="C294" s="73" t="s">
        <v>145</v>
      </c>
      <c r="D294" s="73" t="s">
        <v>149</v>
      </c>
      <c r="E294" s="74" t="s">
        <v>210</v>
      </c>
      <c r="F294" s="241" t="s">
        <v>210</v>
      </c>
      <c r="G294" s="75" t="s">
        <v>473</v>
      </c>
      <c r="H294" s="76">
        <f t="shared" si="26"/>
        <v>8.8</v>
      </c>
      <c r="I294" s="76">
        <v>8</v>
      </c>
      <c r="J294" s="76">
        <v>0.8</v>
      </c>
      <c r="K294" s="76"/>
      <c r="L294" s="266">
        <v>11.8</v>
      </c>
      <c r="M294" s="80"/>
    </row>
    <row r="295" ht="36" spans="1:13">
      <c r="A295" s="252" t="s">
        <v>505</v>
      </c>
      <c r="B295" s="73"/>
      <c r="C295" s="73"/>
      <c r="D295" s="73"/>
      <c r="E295" s="286"/>
      <c r="F295" s="246"/>
      <c r="G295" s="287"/>
      <c r="H295" s="76">
        <f t="shared" si="26"/>
        <v>126.76</v>
      </c>
      <c r="I295" s="76">
        <f t="shared" ref="I295:K295" si="32">SUM(I296:I298)</f>
        <v>126.76</v>
      </c>
      <c r="J295" s="76">
        <f t="shared" si="32"/>
        <v>0</v>
      </c>
      <c r="K295" s="76">
        <f t="shared" si="32"/>
        <v>0</v>
      </c>
      <c r="L295" s="266"/>
      <c r="M295" s="76"/>
    </row>
    <row r="296" ht="36" spans="1:13">
      <c r="A296" s="252" t="s">
        <v>505</v>
      </c>
      <c r="B296" s="73" t="s">
        <v>133</v>
      </c>
      <c r="C296" s="73" t="s">
        <v>145</v>
      </c>
      <c r="D296" s="73" t="s">
        <v>166</v>
      </c>
      <c r="E296" s="74" t="s">
        <v>134</v>
      </c>
      <c r="F296" s="246"/>
      <c r="G296" s="75" t="s">
        <v>416</v>
      </c>
      <c r="H296" s="76">
        <f t="shared" si="26"/>
        <v>104.05</v>
      </c>
      <c r="I296" s="76">
        <f>108.96-4.91</f>
        <v>104.05</v>
      </c>
      <c r="J296" s="76"/>
      <c r="K296" s="76"/>
      <c r="L296" s="266"/>
      <c r="M296" s="76"/>
    </row>
    <row r="297" ht="36" spans="1:13">
      <c r="A297" s="252" t="s">
        <v>505</v>
      </c>
      <c r="B297" s="73" t="s">
        <v>133</v>
      </c>
      <c r="C297" s="73" t="s">
        <v>145</v>
      </c>
      <c r="D297" s="73" t="s">
        <v>166</v>
      </c>
      <c r="E297" s="74" t="s">
        <v>417</v>
      </c>
      <c r="F297" s="246"/>
      <c r="G297" s="75" t="s">
        <v>418</v>
      </c>
      <c r="H297" s="76">
        <f t="shared" si="26"/>
        <v>14.71</v>
      </c>
      <c r="I297" s="76">
        <f>9.8+4.91</f>
        <v>14.71</v>
      </c>
      <c r="J297" s="76"/>
      <c r="K297" s="76"/>
      <c r="L297" s="266"/>
      <c r="M297" s="79" t="s">
        <v>419</v>
      </c>
    </row>
    <row r="298" ht="36" spans="1:13">
      <c r="A298" s="252" t="s">
        <v>505</v>
      </c>
      <c r="B298" s="73" t="s">
        <v>133</v>
      </c>
      <c r="C298" s="73" t="s">
        <v>145</v>
      </c>
      <c r="D298" s="73" t="s">
        <v>149</v>
      </c>
      <c r="E298" s="74" t="s">
        <v>210</v>
      </c>
      <c r="F298" s="241" t="s">
        <v>210</v>
      </c>
      <c r="G298" s="75" t="s">
        <v>506</v>
      </c>
      <c r="H298" s="76">
        <f t="shared" si="26"/>
        <v>8</v>
      </c>
      <c r="I298" s="76">
        <v>8</v>
      </c>
      <c r="J298" s="76"/>
      <c r="K298" s="76"/>
      <c r="L298" s="266">
        <v>10</v>
      </c>
      <c r="M298" s="79" t="s">
        <v>507</v>
      </c>
    </row>
    <row r="299" ht="36" spans="1:13">
      <c r="A299" s="252" t="s">
        <v>508</v>
      </c>
      <c r="B299" s="73"/>
      <c r="C299" s="73"/>
      <c r="D299" s="73"/>
      <c r="E299" s="286"/>
      <c r="F299" s="246"/>
      <c r="G299" s="287"/>
      <c r="H299" s="76">
        <f t="shared" si="26"/>
        <v>127.19</v>
      </c>
      <c r="I299" s="76">
        <f>SUM(I300:I301)</f>
        <v>127.19</v>
      </c>
      <c r="J299" s="76">
        <f>SUM(J41:J42)</f>
        <v>0</v>
      </c>
      <c r="K299" s="76">
        <f>SUM(K41:K42)</f>
        <v>0</v>
      </c>
      <c r="L299" s="266"/>
      <c r="M299" s="76"/>
    </row>
    <row r="300" ht="36" spans="1:13">
      <c r="A300" s="252" t="s">
        <v>508</v>
      </c>
      <c r="B300" s="73" t="s">
        <v>133</v>
      </c>
      <c r="C300" s="73" t="s">
        <v>145</v>
      </c>
      <c r="D300" s="73" t="s">
        <v>166</v>
      </c>
      <c r="E300" s="74" t="s">
        <v>134</v>
      </c>
      <c r="F300" s="246"/>
      <c r="G300" s="75" t="s">
        <v>416</v>
      </c>
      <c r="H300" s="76">
        <f t="shared" si="26"/>
        <v>112.58</v>
      </c>
      <c r="I300" s="76">
        <f>117.39-4.81</f>
        <v>112.58</v>
      </c>
      <c r="J300" s="76"/>
      <c r="K300" s="76"/>
      <c r="L300" s="266"/>
      <c r="M300" s="76"/>
    </row>
    <row r="301" ht="36" spans="1:13">
      <c r="A301" s="252" t="s">
        <v>508</v>
      </c>
      <c r="B301" s="73" t="s">
        <v>133</v>
      </c>
      <c r="C301" s="73" t="s">
        <v>145</v>
      </c>
      <c r="D301" s="73" t="s">
        <v>166</v>
      </c>
      <c r="E301" s="74" t="s">
        <v>417</v>
      </c>
      <c r="F301" s="246"/>
      <c r="G301" s="75" t="s">
        <v>418</v>
      </c>
      <c r="H301" s="76">
        <f t="shared" si="26"/>
        <v>14.61</v>
      </c>
      <c r="I301" s="76">
        <f>4.81+9.8</f>
        <v>14.61</v>
      </c>
      <c r="J301" s="76"/>
      <c r="K301" s="76"/>
      <c r="L301" s="266"/>
      <c r="M301" s="79" t="s">
        <v>419</v>
      </c>
    </row>
    <row r="302" ht="24" spans="1:13">
      <c r="A302" s="252" t="s">
        <v>509</v>
      </c>
      <c r="B302" s="73"/>
      <c r="C302" s="73"/>
      <c r="D302" s="73"/>
      <c r="E302" s="286"/>
      <c r="F302" s="246"/>
      <c r="G302" s="287"/>
      <c r="H302" s="76">
        <f t="shared" si="26"/>
        <v>114.33</v>
      </c>
      <c r="I302" s="76">
        <f t="shared" ref="I302:K302" si="33">SUM(I303:I306)</f>
        <v>114.33</v>
      </c>
      <c r="J302" s="76">
        <f t="shared" si="33"/>
        <v>0</v>
      </c>
      <c r="K302" s="76">
        <f t="shared" si="33"/>
        <v>0</v>
      </c>
      <c r="L302" s="266"/>
      <c r="M302" s="76"/>
    </row>
    <row r="303" ht="24" spans="1:13">
      <c r="A303" s="252" t="s">
        <v>509</v>
      </c>
      <c r="B303" s="73" t="s">
        <v>133</v>
      </c>
      <c r="C303" s="73" t="s">
        <v>145</v>
      </c>
      <c r="D303" s="73" t="s">
        <v>166</v>
      </c>
      <c r="E303" s="74" t="s">
        <v>134</v>
      </c>
      <c r="F303" s="246"/>
      <c r="G303" s="75" t="s">
        <v>416</v>
      </c>
      <c r="H303" s="76">
        <f t="shared" si="26"/>
        <v>88.42</v>
      </c>
      <c r="I303" s="76">
        <f>93.33-4.91</f>
        <v>88.42</v>
      </c>
      <c r="J303" s="76"/>
      <c r="K303" s="76"/>
      <c r="L303" s="266"/>
      <c r="M303" s="76"/>
    </row>
    <row r="304" ht="36" spans="1:13">
      <c r="A304" s="252" t="s">
        <v>509</v>
      </c>
      <c r="B304" s="73" t="s">
        <v>133</v>
      </c>
      <c r="C304" s="73" t="s">
        <v>149</v>
      </c>
      <c r="D304" s="73" t="s">
        <v>149</v>
      </c>
      <c r="E304" s="74" t="s">
        <v>417</v>
      </c>
      <c r="F304" s="246"/>
      <c r="G304" s="75" t="s">
        <v>418</v>
      </c>
      <c r="H304" s="76">
        <f t="shared" si="26"/>
        <v>14.71</v>
      </c>
      <c r="I304" s="76">
        <f>4.91+9.8</f>
        <v>14.71</v>
      </c>
      <c r="J304" s="76"/>
      <c r="K304" s="76"/>
      <c r="L304" s="266"/>
      <c r="M304" s="79" t="s">
        <v>419</v>
      </c>
    </row>
    <row r="305" ht="24" spans="1:13">
      <c r="A305" s="252" t="s">
        <v>509</v>
      </c>
      <c r="B305" s="73" t="s">
        <v>133</v>
      </c>
      <c r="C305" s="73" t="s">
        <v>149</v>
      </c>
      <c r="D305" s="73" t="s">
        <v>149</v>
      </c>
      <c r="E305" s="74" t="s">
        <v>210</v>
      </c>
      <c r="F305" s="241" t="s">
        <v>210</v>
      </c>
      <c r="G305" s="75" t="s">
        <v>473</v>
      </c>
      <c r="H305" s="76">
        <f t="shared" si="26"/>
        <v>4.2</v>
      </c>
      <c r="I305" s="76">
        <v>4.2</v>
      </c>
      <c r="J305" s="76"/>
      <c r="K305" s="76"/>
      <c r="L305" s="266">
        <v>4.2</v>
      </c>
      <c r="M305" s="80"/>
    </row>
    <row r="306" ht="24" spans="1:13">
      <c r="A306" s="252" t="s">
        <v>509</v>
      </c>
      <c r="B306" s="73" t="s">
        <v>133</v>
      </c>
      <c r="C306" s="73" t="s">
        <v>149</v>
      </c>
      <c r="D306" s="73" t="s">
        <v>149</v>
      </c>
      <c r="E306" s="74" t="s">
        <v>210</v>
      </c>
      <c r="F306" s="241" t="s">
        <v>210</v>
      </c>
      <c r="G306" s="75" t="s">
        <v>510</v>
      </c>
      <c r="H306" s="76">
        <f t="shared" si="26"/>
        <v>7</v>
      </c>
      <c r="I306" s="76">
        <v>7</v>
      </c>
      <c r="J306" s="76"/>
      <c r="K306" s="76"/>
      <c r="L306" s="266">
        <v>12.6</v>
      </c>
      <c r="M306" s="80"/>
    </row>
    <row r="307" ht="36" spans="1:13">
      <c r="A307" s="252" t="s">
        <v>511</v>
      </c>
      <c r="B307" s="73"/>
      <c r="C307" s="73"/>
      <c r="D307" s="73"/>
      <c r="E307" s="286"/>
      <c r="F307" s="246"/>
      <c r="G307" s="287"/>
      <c r="H307" s="76">
        <f t="shared" si="26"/>
        <v>184.2</v>
      </c>
      <c r="I307" s="76">
        <f>SUM(I308:I309)</f>
        <v>184.2</v>
      </c>
      <c r="J307" s="76">
        <f>SUM(J308:J308)</f>
        <v>0</v>
      </c>
      <c r="K307" s="76">
        <f>SUM(K308:K308)</f>
        <v>0</v>
      </c>
      <c r="L307" s="266"/>
      <c r="M307" s="76"/>
    </row>
    <row r="308" ht="36" spans="1:13">
      <c r="A308" s="252" t="s">
        <v>511</v>
      </c>
      <c r="B308" s="73" t="s">
        <v>133</v>
      </c>
      <c r="C308" s="73" t="s">
        <v>145</v>
      </c>
      <c r="D308" s="73" t="s">
        <v>166</v>
      </c>
      <c r="E308" s="74" t="s">
        <v>134</v>
      </c>
      <c r="F308" s="246"/>
      <c r="G308" s="75" t="s">
        <v>416</v>
      </c>
      <c r="H308" s="76">
        <f t="shared" si="26"/>
        <v>163.22</v>
      </c>
      <c r="I308" s="76">
        <f>170.2-6.98</f>
        <v>163.22</v>
      </c>
      <c r="J308" s="76"/>
      <c r="K308" s="76"/>
      <c r="L308" s="266"/>
      <c r="M308" s="76"/>
    </row>
    <row r="309" ht="36" spans="1:13">
      <c r="A309" s="252" t="s">
        <v>511</v>
      </c>
      <c r="B309" s="73" t="s">
        <v>133</v>
      </c>
      <c r="C309" s="73" t="s">
        <v>145</v>
      </c>
      <c r="D309" s="73" t="s">
        <v>166</v>
      </c>
      <c r="E309" s="74" t="s">
        <v>417</v>
      </c>
      <c r="F309" s="246"/>
      <c r="G309" s="75" t="s">
        <v>418</v>
      </c>
      <c r="H309" s="76">
        <f t="shared" si="26"/>
        <v>20.98</v>
      </c>
      <c r="I309" s="76">
        <f>14+6.98</f>
        <v>20.98</v>
      </c>
      <c r="J309" s="76"/>
      <c r="K309" s="76"/>
      <c r="L309" s="266"/>
      <c r="M309" s="79" t="s">
        <v>419</v>
      </c>
    </row>
    <row r="310" ht="24" spans="1:13">
      <c r="A310" s="252" t="s">
        <v>512</v>
      </c>
      <c r="B310" s="73"/>
      <c r="C310" s="73"/>
      <c r="D310" s="73"/>
      <c r="E310" s="286"/>
      <c r="F310" s="246"/>
      <c r="G310" s="287"/>
      <c r="H310" s="76">
        <f t="shared" si="26"/>
        <v>401.85</v>
      </c>
      <c r="I310" s="76">
        <f t="shared" ref="I310:K310" si="34">SUM(I311:I313)</f>
        <v>399.58</v>
      </c>
      <c r="J310" s="76">
        <f t="shared" si="34"/>
        <v>2.27</v>
      </c>
      <c r="K310" s="76">
        <f t="shared" si="34"/>
        <v>0</v>
      </c>
      <c r="L310" s="266"/>
      <c r="M310" s="76"/>
    </row>
    <row r="311" ht="24" spans="1:13">
      <c r="A311" s="252" t="s">
        <v>512</v>
      </c>
      <c r="B311" s="73" t="s">
        <v>336</v>
      </c>
      <c r="C311" s="73" t="s">
        <v>166</v>
      </c>
      <c r="D311" s="73" t="s">
        <v>166</v>
      </c>
      <c r="E311" s="74" t="s">
        <v>134</v>
      </c>
      <c r="F311" s="246"/>
      <c r="G311" s="75" t="s">
        <v>416</v>
      </c>
      <c r="H311" s="76">
        <f t="shared" si="26"/>
        <v>355.93</v>
      </c>
      <c r="I311" s="76">
        <f>369.38-13.45</f>
        <v>355.93</v>
      </c>
      <c r="J311" s="76"/>
      <c r="K311" s="76"/>
      <c r="L311" s="266"/>
      <c r="M311" s="76"/>
    </row>
    <row r="312" ht="36" spans="1:13">
      <c r="A312" s="252" t="s">
        <v>512</v>
      </c>
      <c r="B312" s="73" t="s">
        <v>336</v>
      </c>
      <c r="C312" s="73" t="s">
        <v>166</v>
      </c>
      <c r="D312" s="73" t="s">
        <v>166</v>
      </c>
      <c r="E312" s="74" t="s">
        <v>417</v>
      </c>
      <c r="F312" s="246"/>
      <c r="G312" s="75" t="s">
        <v>418</v>
      </c>
      <c r="H312" s="76">
        <f t="shared" si="26"/>
        <v>40.92</v>
      </c>
      <c r="I312" s="76">
        <f>13.45+25.2</f>
        <v>38.65</v>
      </c>
      <c r="J312" s="76">
        <v>2.27</v>
      </c>
      <c r="K312" s="76"/>
      <c r="L312" s="266"/>
      <c r="M312" s="79" t="s">
        <v>419</v>
      </c>
    </row>
    <row r="313" ht="24" spans="1:13">
      <c r="A313" s="252" t="s">
        <v>512</v>
      </c>
      <c r="B313" s="73" t="s">
        <v>513</v>
      </c>
      <c r="C313" s="73" t="s">
        <v>179</v>
      </c>
      <c r="D313" s="73" t="s">
        <v>145</v>
      </c>
      <c r="E313" s="74" t="s">
        <v>210</v>
      </c>
      <c r="F313" s="241" t="s">
        <v>210</v>
      </c>
      <c r="G313" s="75" t="s">
        <v>514</v>
      </c>
      <c r="H313" s="76">
        <f t="shared" si="26"/>
        <v>5</v>
      </c>
      <c r="I313" s="76">
        <v>5</v>
      </c>
      <c r="J313" s="76"/>
      <c r="K313" s="76"/>
      <c r="L313" s="266">
        <v>116.18</v>
      </c>
      <c r="M313" s="80"/>
    </row>
    <row r="314" ht="36" spans="1:13">
      <c r="A314" s="252" t="s">
        <v>515</v>
      </c>
      <c r="B314" s="73"/>
      <c r="C314" s="73"/>
      <c r="D314" s="73"/>
      <c r="E314" s="286"/>
      <c r="F314" s="246"/>
      <c r="G314" s="287"/>
      <c r="H314" s="76">
        <f t="shared" si="26"/>
        <v>443.11</v>
      </c>
      <c r="I314" s="76">
        <f>SUM(I315:I316)</f>
        <v>443.11</v>
      </c>
      <c r="J314" s="76">
        <f>SUM(J315:J315)</f>
        <v>0</v>
      </c>
      <c r="K314" s="76">
        <f>SUM(K315:K315)</f>
        <v>0</v>
      </c>
      <c r="L314" s="266"/>
      <c r="M314" s="76"/>
    </row>
    <row r="315" ht="36" spans="1:13">
      <c r="A315" s="252" t="s">
        <v>515</v>
      </c>
      <c r="B315" s="73" t="s">
        <v>336</v>
      </c>
      <c r="C315" s="73" t="s">
        <v>166</v>
      </c>
      <c r="D315" s="73" t="s">
        <v>166</v>
      </c>
      <c r="E315" s="74" t="s">
        <v>134</v>
      </c>
      <c r="F315" s="246"/>
      <c r="G315" s="75" t="s">
        <v>416</v>
      </c>
      <c r="H315" s="76">
        <f t="shared" si="26"/>
        <v>402.49</v>
      </c>
      <c r="I315" s="76">
        <f>416.51-14.02</f>
        <v>402.49</v>
      </c>
      <c r="J315" s="76"/>
      <c r="K315" s="76"/>
      <c r="L315" s="266"/>
      <c r="M315" s="76"/>
    </row>
    <row r="316" ht="36" spans="1:13">
      <c r="A316" s="252" t="s">
        <v>515</v>
      </c>
      <c r="B316" s="73" t="s">
        <v>336</v>
      </c>
      <c r="C316" s="73" t="s">
        <v>166</v>
      </c>
      <c r="D316" s="73" t="s">
        <v>166</v>
      </c>
      <c r="E316" s="74" t="s">
        <v>417</v>
      </c>
      <c r="F316" s="246"/>
      <c r="G316" s="75" t="s">
        <v>418</v>
      </c>
      <c r="H316" s="76">
        <f t="shared" si="26"/>
        <v>40.62</v>
      </c>
      <c r="I316" s="76">
        <f>14.02+26.6</f>
        <v>40.62</v>
      </c>
      <c r="J316" s="76"/>
      <c r="K316" s="76"/>
      <c r="L316" s="266"/>
      <c r="M316" s="79" t="s">
        <v>419</v>
      </c>
    </row>
    <row r="317" ht="24" spans="1:13">
      <c r="A317" s="252" t="s">
        <v>516</v>
      </c>
      <c r="B317" s="73"/>
      <c r="C317" s="73"/>
      <c r="D317" s="73"/>
      <c r="E317" s="286"/>
      <c r="F317" s="246"/>
      <c r="G317" s="287"/>
      <c r="H317" s="76">
        <f t="shared" si="26"/>
        <v>3219.82</v>
      </c>
      <c r="I317" s="76">
        <f t="shared" ref="I317:K317" si="35">SUM(I318:I320)</f>
        <v>2499.82</v>
      </c>
      <c r="J317" s="76">
        <f t="shared" si="35"/>
        <v>720</v>
      </c>
      <c r="K317" s="76">
        <f t="shared" si="35"/>
        <v>0</v>
      </c>
      <c r="L317" s="266"/>
      <c r="M317" s="76"/>
    </row>
    <row r="318" ht="24" spans="1:13">
      <c r="A318" s="252" t="s">
        <v>516</v>
      </c>
      <c r="B318" s="73" t="s">
        <v>336</v>
      </c>
      <c r="C318" s="73" t="s">
        <v>142</v>
      </c>
      <c r="D318" s="73" t="s">
        <v>166</v>
      </c>
      <c r="E318" s="74" t="s">
        <v>134</v>
      </c>
      <c r="F318" s="246"/>
      <c r="G318" s="75" t="s">
        <v>416</v>
      </c>
      <c r="H318" s="76">
        <f t="shared" si="26"/>
        <v>2431.73</v>
      </c>
      <c r="I318" s="76">
        <f>2433.32-1.59</f>
        <v>2431.73</v>
      </c>
      <c r="J318" s="76"/>
      <c r="K318" s="76"/>
      <c r="L318" s="266"/>
      <c r="M318" s="76"/>
    </row>
    <row r="319" ht="36" spans="1:13">
      <c r="A319" s="252" t="s">
        <v>516</v>
      </c>
      <c r="B319" s="73" t="s">
        <v>336</v>
      </c>
      <c r="C319" s="73" t="s">
        <v>142</v>
      </c>
      <c r="D319" s="73" t="s">
        <v>166</v>
      </c>
      <c r="E319" s="74" t="s">
        <v>417</v>
      </c>
      <c r="F319" s="246"/>
      <c r="G319" s="75" t="s">
        <v>418</v>
      </c>
      <c r="H319" s="76">
        <f t="shared" si="26"/>
        <v>68.09</v>
      </c>
      <c r="I319" s="76">
        <f>66.5+1.59</f>
        <v>68.09</v>
      </c>
      <c r="J319" s="76"/>
      <c r="K319" s="76"/>
      <c r="L319" s="266"/>
      <c r="M319" s="79" t="s">
        <v>419</v>
      </c>
    </row>
    <row r="320" ht="26.4" spans="1:13">
      <c r="A320" s="252" t="s">
        <v>516</v>
      </c>
      <c r="B320" s="73" t="s">
        <v>336</v>
      </c>
      <c r="C320" s="73" t="s">
        <v>142</v>
      </c>
      <c r="D320" s="73" t="s">
        <v>166</v>
      </c>
      <c r="E320" s="74" t="s">
        <v>210</v>
      </c>
      <c r="F320" s="241" t="s">
        <v>210</v>
      </c>
      <c r="G320" s="75" t="s">
        <v>517</v>
      </c>
      <c r="H320" s="76">
        <f t="shared" si="26"/>
        <v>720</v>
      </c>
      <c r="I320" s="76"/>
      <c r="J320" s="76">
        <v>720</v>
      </c>
      <c r="K320" s="76"/>
      <c r="L320" s="266"/>
      <c r="M320" s="77" t="s">
        <v>518</v>
      </c>
    </row>
    <row r="321" ht="36" spans="1:13">
      <c r="A321" s="252" t="s">
        <v>519</v>
      </c>
      <c r="B321" s="73"/>
      <c r="C321" s="73"/>
      <c r="D321" s="73"/>
      <c r="E321" s="286"/>
      <c r="F321" s="246"/>
      <c r="G321" s="287"/>
      <c r="H321" s="76">
        <f t="shared" si="26"/>
        <v>2782.66</v>
      </c>
      <c r="I321" s="76">
        <f t="shared" ref="I321:K321" si="36">SUM(I322:I324)</f>
        <v>2782.66</v>
      </c>
      <c r="J321" s="76">
        <f t="shared" si="36"/>
        <v>0</v>
      </c>
      <c r="K321" s="76">
        <f t="shared" si="36"/>
        <v>0</v>
      </c>
      <c r="L321" s="266"/>
      <c r="M321" s="76"/>
    </row>
    <row r="322" ht="36" spans="1:13">
      <c r="A322" s="252" t="s">
        <v>519</v>
      </c>
      <c r="B322" s="73" t="s">
        <v>336</v>
      </c>
      <c r="C322" s="73" t="s">
        <v>166</v>
      </c>
      <c r="D322" s="73" t="s">
        <v>158</v>
      </c>
      <c r="E322" s="74" t="s">
        <v>134</v>
      </c>
      <c r="F322" s="246"/>
      <c r="G322" s="75" t="s">
        <v>416</v>
      </c>
      <c r="H322" s="76">
        <f t="shared" si="26"/>
        <v>1347.03</v>
      </c>
      <c r="I322" s="76">
        <f>1417.31-70.28</f>
        <v>1347.03</v>
      </c>
      <c r="J322" s="76"/>
      <c r="K322" s="76"/>
      <c r="L322" s="266"/>
      <c r="M322" s="76"/>
    </row>
    <row r="323" ht="36" spans="1:13">
      <c r="A323" s="252" t="s">
        <v>519</v>
      </c>
      <c r="B323" s="73" t="s">
        <v>336</v>
      </c>
      <c r="C323" s="73" t="s">
        <v>166</v>
      </c>
      <c r="D323" s="73" t="s">
        <v>158</v>
      </c>
      <c r="E323" s="74" t="s">
        <v>417</v>
      </c>
      <c r="F323" s="246"/>
      <c r="G323" s="75" t="s">
        <v>418</v>
      </c>
      <c r="H323" s="76">
        <f t="shared" si="26"/>
        <v>215.88</v>
      </c>
      <c r="I323" s="76">
        <f>70.28+145.6</f>
        <v>215.88</v>
      </c>
      <c r="J323" s="76"/>
      <c r="K323" s="76"/>
      <c r="L323" s="266"/>
      <c r="M323" s="79" t="s">
        <v>419</v>
      </c>
    </row>
    <row r="324" ht="36" spans="1:13">
      <c r="A324" s="252" t="s">
        <v>519</v>
      </c>
      <c r="B324" s="73" t="s">
        <v>336</v>
      </c>
      <c r="C324" s="73" t="s">
        <v>166</v>
      </c>
      <c r="D324" s="73" t="s">
        <v>158</v>
      </c>
      <c r="E324" s="74" t="s">
        <v>210</v>
      </c>
      <c r="F324" s="241" t="s">
        <v>210</v>
      </c>
      <c r="G324" s="75" t="s">
        <v>520</v>
      </c>
      <c r="H324" s="76">
        <f t="shared" si="26"/>
        <v>1219.75</v>
      </c>
      <c r="I324" s="76">
        <v>1219.75</v>
      </c>
      <c r="J324" s="76"/>
      <c r="K324" s="76"/>
      <c r="L324" s="266">
        <v>1664.6</v>
      </c>
      <c r="M324" s="80" t="s">
        <v>521</v>
      </c>
    </row>
    <row r="325" ht="24" spans="1:13">
      <c r="A325" s="252" t="s">
        <v>522</v>
      </c>
      <c r="B325" s="73"/>
      <c r="C325" s="73"/>
      <c r="D325" s="73"/>
      <c r="E325" s="286"/>
      <c r="F325" s="246"/>
      <c r="G325" s="287"/>
      <c r="H325" s="76">
        <f t="shared" si="26"/>
        <v>783.94</v>
      </c>
      <c r="I325" s="76">
        <f t="shared" ref="I325:K325" si="37">SUM(I326:I329)</f>
        <v>783.94</v>
      </c>
      <c r="J325" s="76">
        <f t="shared" si="37"/>
        <v>0</v>
      </c>
      <c r="K325" s="76">
        <f t="shared" si="37"/>
        <v>0</v>
      </c>
      <c r="L325" s="266"/>
      <c r="M325" s="76"/>
    </row>
    <row r="326" ht="24" spans="1:13">
      <c r="A326" s="252" t="s">
        <v>522</v>
      </c>
      <c r="B326" s="73" t="s">
        <v>336</v>
      </c>
      <c r="C326" s="73" t="s">
        <v>166</v>
      </c>
      <c r="D326" s="73" t="s">
        <v>166</v>
      </c>
      <c r="E326" s="74" t="s">
        <v>134</v>
      </c>
      <c r="F326" s="246"/>
      <c r="G326" s="75" t="s">
        <v>416</v>
      </c>
      <c r="H326" s="76">
        <f t="shared" si="26"/>
        <v>653.35</v>
      </c>
      <c r="I326" s="76">
        <f>654.94-1.59</f>
        <v>653.35</v>
      </c>
      <c r="J326" s="76"/>
      <c r="K326" s="76"/>
      <c r="L326" s="266"/>
      <c r="M326" s="76"/>
    </row>
    <row r="327" ht="36" spans="1:13">
      <c r="A327" s="252" t="s">
        <v>522</v>
      </c>
      <c r="B327" s="73" t="s">
        <v>336</v>
      </c>
      <c r="C327" s="73" t="s">
        <v>166</v>
      </c>
      <c r="D327" s="73" t="s">
        <v>166</v>
      </c>
      <c r="E327" s="74" t="s">
        <v>417</v>
      </c>
      <c r="F327" s="246"/>
      <c r="G327" s="75" t="s">
        <v>418</v>
      </c>
      <c r="H327" s="76">
        <f t="shared" si="26"/>
        <v>21.19</v>
      </c>
      <c r="I327" s="76">
        <f>1.59+19.6</f>
        <v>21.19</v>
      </c>
      <c r="J327" s="76"/>
      <c r="K327" s="76"/>
      <c r="L327" s="266"/>
      <c r="M327" s="79" t="s">
        <v>419</v>
      </c>
    </row>
    <row r="328" ht="24" spans="1:13">
      <c r="A328" s="252" t="s">
        <v>522</v>
      </c>
      <c r="B328" s="73" t="s">
        <v>336</v>
      </c>
      <c r="C328" s="73" t="s">
        <v>166</v>
      </c>
      <c r="D328" s="73" t="s">
        <v>149</v>
      </c>
      <c r="E328" s="74" t="s">
        <v>210</v>
      </c>
      <c r="F328" s="241" t="s">
        <v>210</v>
      </c>
      <c r="G328" s="75" t="s">
        <v>523</v>
      </c>
      <c r="H328" s="76">
        <f t="shared" ref="H328:H391" si="38">I328+J328+K328</f>
        <v>98</v>
      </c>
      <c r="I328" s="76">
        <v>98</v>
      </c>
      <c r="J328" s="76"/>
      <c r="K328" s="76"/>
      <c r="L328" s="266">
        <v>187</v>
      </c>
      <c r="M328" s="77" t="s">
        <v>524</v>
      </c>
    </row>
    <row r="329" ht="24" spans="1:13">
      <c r="A329" s="252" t="s">
        <v>522</v>
      </c>
      <c r="B329" s="73" t="s">
        <v>336</v>
      </c>
      <c r="C329" s="73" t="s">
        <v>166</v>
      </c>
      <c r="D329" s="73" t="s">
        <v>166</v>
      </c>
      <c r="E329" s="74" t="s">
        <v>210</v>
      </c>
      <c r="F329" s="241" t="s">
        <v>210</v>
      </c>
      <c r="G329" s="83" t="s">
        <v>525</v>
      </c>
      <c r="H329" s="76">
        <f t="shared" si="38"/>
        <v>11.4</v>
      </c>
      <c r="I329" s="76">
        <v>11.4</v>
      </c>
      <c r="J329" s="76"/>
      <c r="K329" s="76"/>
      <c r="L329" s="266">
        <v>11.4</v>
      </c>
      <c r="M329" s="278"/>
    </row>
    <row r="330" ht="24" spans="1:13">
      <c r="A330" s="252" t="s">
        <v>526</v>
      </c>
      <c r="B330" s="73"/>
      <c r="C330" s="73"/>
      <c r="D330" s="73"/>
      <c r="E330" s="286"/>
      <c r="F330" s="246"/>
      <c r="G330" s="287"/>
      <c r="H330" s="76">
        <f t="shared" si="38"/>
        <v>221.85</v>
      </c>
      <c r="I330" s="76">
        <f t="shared" ref="I330:K330" si="39">SUM(I331:I333)</f>
        <v>221.85</v>
      </c>
      <c r="J330" s="76">
        <f t="shared" si="39"/>
        <v>0</v>
      </c>
      <c r="K330" s="76">
        <f t="shared" si="39"/>
        <v>0</v>
      </c>
      <c r="L330" s="266"/>
      <c r="M330" s="76"/>
    </row>
    <row r="331" ht="24" spans="1:13">
      <c r="A331" s="252" t="s">
        <v>526</v>
      </c>
      <c r="B331" s="73" t="s">
        <v>133</v>
      </c>
      <c r="C331" s="73" t="s">
        <v>182</v>
      </c>
      <c r="D331" s="73" t="s">
        <v>166</v>
      </c>
      <c r="E331" s="74" t="s">
        <v>134</v>
      </c>
      <c r="F331" s="246"/>
      <c r="G331" s="75" t="s">
        <v>416</v>
      </c>
      <c r="H331" s="76">
        <f t="shared" si="38"/>
        <v>182.95</v>
      </c>
      <c r="I331" s="76">
        <f>191.45-8.5</f>
        <v>182.95</v>
      </c>
      <c r="J331" s="76"/>
      <c r="K331" s="76"/>
      <c r="L331" s="266"/>
      <c r="M331" s="76"/>
    </row>
    <row r="332" ht="36" spans="1:13">
      <c r="A332" s="252" t="s">
        <v>526</v>
      </c>
      <c r="B332" s="73" t="s">
        <v>133</v>
      </c>
      <c r="C332" s="73" t="s">
        <v>182</v>
      </c>
      <c r="D332" s="73" t="s">
        <v>166</v>
      </c>
      <c r="E332" s="74" t="s">
        <v>417</v>
      </c>
      <c r="F332" s="246"/>
      <c r="G332" s="75" t="s">
        <v>418</v>
      </c>
      <c r="H332" s="76">
        <f t="shared" si="38"/>
        <v>23.9</v>
      </c>
      <c r="I332" s="76">
        <f>8.5+15.4</f>
        <v>23.9</v>
      </c>
      <c r="J332" s="76"/>
      <c r="K332" s="76"/>
      <c r="L332" s="266"/>
      <c r="M332" s="79" t="s">
        <v>419</v>
      </c>
    </row>
    <row r="333" ht="25.2" spans="1:13">
      <c r="A333" s="252" t="s">
        <v>526</v>
      </c>
      <c r="B333" s="73" t="s">
        <v>133</v>
      </c>
      <c r="C333" s="73" t="s">
        <v>182</v>
      </c>
      <c r="D333" s="73" t="s">
        <v>149</v>
      </c>
      <c r="E333" s="74" t="s">
        <v>210</v>
      </c>
      <c r="F333" s="241" t="s">
        <v>210</v>
      </c>
      <c r="G333" s="75" t="s">
        <v>527</v>
      </c>
      <c r="H333" s="76">
        <f t="shared" si="38"/>
        <v>15</v>
      </c>
      <c r="I333" s="76">
        <v>15</v>
      </c>
      <c r="J333" s="76"/>
      <c r="K333" s="76"/>
      <c r="L333" s="266">
        <v>28.7</v>
      </c>
      <c r="M333" s="79" t="s">
        <v>528</v>
      </c>
    </row>
    <row r="334" ht="24" spans="1:13">
      <c r="A334" s="252" t="s">
        <v>529</v>
      </c>
      <c r="B334" s="73"/>
      <c r="C334" s="73"/>
      <c r="D334" s="73"/>
      <c r="E334" s="286"/>
      <c r="F334" s="246"/>
      <c r="G334" s="287"/>
      <c r="H334" s="76">
        <f t="shared" si="38"/>
        <v>101.43</v>
      </c>
      <c r="I334" s="76">
        <f>SUM(I335:I336)</f>
        <v>101.43</v>
      </c>
      <c r="J334" s="76">
        <f>SUM(J335:J335)</f>
        <v>0</v>
      </c>
      <c r="K334" s="76">
        <f>SUM(K335:K335)</f>
        <v>0</v>
      </c>
      <c r="L334" s="266"/>
      <c r="M334" s="76"/>
    </row>
    <row r="335" ht="24" spans="1:13">
      <c r="A335" s="252" t="s">
        <v>529</v>
      </c>
      <c r="B335" s="73" t="s">
        <v>133</v>
      </c>
      <c r="C335" s="73" t="s">
        <v>145</v>
      </c>
      <c r="D335" s="73" t="s">
        <v>166</v>
      </c>
      <c r="E335" s="74" t="s">
        <v>134</v>
      </c>
      <c r="F335" s="246"/>
      <c r="G335" s="75" t="s">
        <v>416</v>
      </c>
      <c r="H335" s="76">
        <f t="shared" si="38"/>
        <v>92.27</v>
      </c>
      <c r="I335" s="76">
        <f>95.83-3.56</f>
        <v>92.27</v>
      </c>
      <c r="J335" s="76"/>
      <c r="K335" s="76"/>
      <c r="L335" s="266"/>
      <c r="M335" s="76"/>
    </row>
    <row r="336" ht="36" spans="1:13">
      <c r="A336" s="252" t="s">
        <v>529</v>
      </c>
      <c r="B336" s="73" t="s">
        <v>133</v>
      </c>
      <c r="C336" s="73" t="s">
        <v>149</v>
      </c>
      <c r="D336" s="73" t="s">
        <v>149</v>
      </c>
      <c r="E336" s="74" t="s">
        <v>417</v>
      </c>
      <c r="F336" s="246"/>
      <c r="G336" s="75" t="s">
        <v>418</v>
      </c>
      <c r="H336" s="76">
        <f t="shared" si="38"/>
        <v>9.16</v>
      </c>
      <c r="I336" s="76">
        <f>3.56+5.6</f>
        <v>9.16</v>
      </c>
      <c r="J336" s="76"/>
      <c r="K336" s="76"/>
      <c r="L336" s="266"/>
      <c r="M336" s="79" t="s">
        <v>419</v>
      </c>
    </row>
    <row r="337" ht="24" spans="1:13">
      <c r="A337" s="252" t="s">
        <v>530</v>
      </c>
      <c r="B337" s="73"/>
      <c r="C337" s="73"/>
      <c r="D337" s="73"/>
      <c r="E337" s="286"/>
      <c r="F337" s="246"/>
      <c r="G337" s="287"/>
      <c r="H337" s="76">
        <f t="shared" si="38"/>
        <v>105.85</v>
      </c>
      <c r="I337" s="76">
        <f t="shared" ref="I337:K337" si="40">SUM(I338:I340)</f>
        <v>105.85</v>
      </c>
      <c r="J337" s="76">
        <f t="shared" si="40"/>
        <v>0</v>
      </c>
      <c r="K337" s="76">
        <f t="shared" si="40"/>
        <v>0</v>
      </c>
      <c r="L337" s="266"/>
      <c r="M337" s="76"/>
    </row>
    <row r="338" ht="24" spans="1:13">
      <c r="A338" s="252" t="s">
        <v>530</v>
      </c>
      <c r="B338" s="73" t="s">
        <v>133</v>
      </c>
      <c r="C338" s="73" t="s">
        <v>268</v>
      </c>
      <c r="D338" s="73" t="s">
        <v>166</v>
      </c>
      <c r="E338" s="74" t="s">
        <v>134</v>
      </c>
      <c r="F338" s="246"/>
      <c r="G338" s="75" t="s">
        <v>416</v>
      </c>
      <c r="H338" s="76">
        <f t="shared" si="38"/>
        <v>91.04</v>
      </c>
      <c r="I338" s="76">
        <f>95.85-4.81</f>
        <v>91.04</v>
      </c>
      <c r="J338" s="76"/>
      <c r="K338" s="76"/>
      <c r="L338" s="266"/>
      <c r="M338" s="76"/>
    </row>
    <row r="339" ht="36" spans="1:13">
      <c r="A339" s="252" t="s">
        <v>530</v>
      </c>
      <c r="B339" s="73" t="s">
        <v>133</v>
      </c>
      <c r="C339" s="73" t="s">
        <v>268</v>
      </c>
      <c r="D339" s="73" t="s">
        <v>166</v>
      </c>
      <c r="E339" s="74" t="s">
        <v>417</v>
      </c>
      <c r="F339" s="246"/>
      <c r="G339" s="75" t="s">
        <v>418</v>
      </c>
      <c r="H339" s="76">
        <f t="shared" si="38"/>
        <v>11.81</v>
      </c>
      <c r="I339" s="76">
        <f>7+4.81</f>
        <v>11.81</v>
      </c>
      <c r="J339" s="76"/>
      <c r="K339" s="76"/>
      <c r="L339" s="266"/>
      <c r="M339" s="79" t="s">
        <v>419</v>
      </c>
    </row>
    <row r="340" ht="24" spans="1:13">
      <c r="A340" s="252" t="s">
        <v>530</v>
      </c>
      <c r="B340" s="73" t="s">
        <v>133</v>
      </c>
      <c r="C340" s="73" t="s">
        <v>268</v>
      </c>
      <c r="D340" s="73" t="s">
        <v>149</v>
      </c>
      <c r="E340" s="74" t="s">
        <v>210</v>
      </c>
      <c r="F340" s="241" t="s">
        <v>210</v>
      </c>
      <c r="G340" s="75" t="s">
        <v>531</v>
      </c>
      <c r="H340" s="76">
        <f t="shared" si="38"/>
        <v>3</v>
      </c>
      <c r="I340" s="76">
        <v>3</v>
      </c>
      <c r="J340" s="76"/>
      <c r="K340" s="76"/>
      <c r="L340" s="266">
        <v>8</v>
      </c>
      <c r="M340" s="80"/>
    </row>
    <row r="341" ht="24" spans="1:13">
      <c r="A341" s="252" t="s">
        <v>532</v>
      </c>
      <c r="B341" s="73"/>
      <c r="C341" s="73"/>
      <c r="D341" s="73"/>
      <c r="E341" s="286"/>
      <c r="F341" s="246"/>
      <c r="G341" s="287"/>
      <c r="H341" s="76">
        <f t="shared" si="38"/>
        <v>63.81</v>
      </c>
      <c r="I341" s="76">
        <f t="shared" ref="I341:K341" si="41">SUM(I342:I344)</f>
        <v>63.81</v>
      </c>
      <c r="J341" s="76">
        <f t="shared" si="41"/>
        <v>0</v>
      </c>
      <c r="K341" s="76">
        <f t="shared" si="41"/>
        <v>0</v>
      </c>
      <c r="L341" s="266"/>
      <c r="M341" s="76"/>
    </row>
    <row r="342" ht="24" spans="1:13">
      <c r="A342" s="252" t="s">
        <v>532</v>
      </c>
      <c r="B342" s="73" t="s">
        <v>262</v>
      </c>
      <c r="C342" s="73" t="s">
        <v>260</v>
      </c>
      <c r="D342" s="73" t="s">
        <v>166</v>
      </c>
      <c r="E342" s="74" t="s">
        <v>134</v>
      </c>
      <c r="F342" s="246"/>
      <c r="G342" s="75" t="s">
        <v>416</v>
      </c>
      <c r="H342" s="76">
        <f t="shared" si="38"/>
        <v>54.83</v>
      </c>
      <c r="I342" s="76">
        <f>57.61-2.78</f>
        <v>54.83</v>
      </c>
      <c r="J342" s="76"/>
      <c r="K342" s="76"/>
      <c r="L342" s="266"/>
      <c r="M342" s="76"/>
    </row>
    <row r="343" ht="36" spans="1:13">
      <c r="A343" s="252" t="s">
        <v>532</v>
      </c>
      <c r="B343" s="73" t="s">
        <v>262</v>
      </c>
      <c r="C343" s="73" t="s">
        <v>260</v>
      </c>
      <c r="D343" s="73" t="s">
        <v>166</v>
      </c>
      <c r="E343" s="74" t="s">
        <v>417</v>
      </c>
      <c r="F343" s="246"/>
      <c r="G343" s="75" t="s">
        <v>418</v>
      </c>
      <c r="H343" s="76">
        <f t="shared" si="38"/>
        <v>6.98</v>
      </c>
      <c r="I343" s="76">
        <f>4.2+2.78</f>
        <v>6.98</v>
      </c>
      <c r="J343" s="76"/>
      <c r="K343" s="76"/>
      <c r="L343" s="266"/>
      <c r="M343" s="79" t="s">
        <v>419</v>
      </c>
    </row>
    <row r="344" ht="24" spans="1:13">
      <c r="A344" s="252" t="s">
        <v>532</v>
      </c>
      <c r="B344" s="73" t="s">
        <v>262</v>
      </c>
      <c r="C344" s="73" t="s">
        <v>260</v>
      </c>
      <c r="D344" s="73" t="s">
        <v>149</v>
      </c>
      <c r="E344" s="74" t="s">
        <v>210</v>
      </c>
      <c r="F344" s="241" t="s">
        <v>210</v>
      </c>
      <c r="G344" s="75" t="s">
        <v>533</v>
      </c>
      <c r="H344" s="76">
        <f t="shared" si="38"/>
        <v>2</v>
      </c>
      <c r="I344" s="76">
        <v>2</v>
      </c>
      <c r="J344" s="76"/>
      <c r="K344" s="76"/>
      <c r="L344" s="266">
        <v>6</v>
      </c>
      <c r="M344" s="80"/>
    </row>
    <row r="345" ht="24" spans="1:13">
      <c r="A345" s="252" t="s">
        <v>534</v>
      </c>
      <c r="B345" s="73"/>
      <c r="C345" s="73"/>
      <c r="D345" s="73"/>
      <c r="E345" s="286"/>
      <c r="F345" s="246"/>
      <c r="G345" s="287"/>
      <c r="H345" s="76">
        <f t="shared" si="38"/>
        <v>86.09</v>
      </c>
      <c r="I345" s="76">
        <f t="shared" ref="I345:K345" si="42">SUM(I346:I347)</f>
        <v>86.09</v>
      </c>
      <c r="J345" s="76">
        <f t="shared" si="42"/>
        <v>0</v>
      </c>
      <c r="K345" s="76">
        <f t="shared" si="42"/>
        <v>0</v>
      </c>
      <c r="L345" s="266"/>
      <c r="M345" s="76"/>
    </row>
    <row r="346" ht="24" spans="1:13">
      <c r="A346" s="252" t="s">
        <v>534</v>
      </c>
      <c r="B346" s="73" t="s">
        <v>262</v>
      </c>
      <c r="C346" s="73" t="s">
        <v>157</v>
      </c>
      <c r="D346" s="73" t="s">
        <v>166</v>
      </c>
      <c r="E346" s="74" t="s">
        <v>134</v>
      </c>
      <c r="F346" s="246"/>
      <c r="G346" s="75" t="s">
        <v>416</v>
      </c>
      <c r="H346" s="76">
        <f t="shared" si="38"/>
        <v>77.39</v>
      </c>
      <c r="I346" s="76">
        <f>80.49-3.1</f>
        <v>77.39</v>
      </c>
      <c r="J346" s="76"/>
      <c r="K346" s="76"/>
      <c r="L346" s="266"/>
      <c r="M346" s="76"/>
    </row>
    <row r="347" ht="36" spans="1:13">
      <c r="A347" s="252" t="s">
        <v>534</v>
      </c>
      <c r="B347" s="73" t="s">
        <v>262</v>
      </c>
      <c r="C347" s="73" t="s">
        <v>157</v>
      </c>
      <c r="D347" s="73" t="s">
        <v>166</v>
      </c>
      <c r="E347" s="74" t="s">
        <v>417</v>
      </c>
      <c r="F347" s="246"/>
      <c r="G347" s="75" t="s">
        <v>418</v>
      </c>
      <c r="H347" s="76">
        <f t="shared" si="38"/>
        <v>8.7</v>
      </c>
      <c r="I347" s="76">
        <f>3.1+5.6</f>
        <v>8.7</v>
      </c>
      <c r="J347" s="76"/>
      <c r="K347" s="76"/>
      <c r="L347" s="266"/>
      <c r="M347" s="79" t="s">
        <v>419</v>
      </c>
    </row>
    <row r="348" ht="24" spans="1:13">
      <c r="A348" s="252" t="s">
        <v>535</v>
      </c>
      <c r="B348" s="73"/>
      <c r="C348" s="73"/>
      <c r="D348" s="73"/>
      <c r="E348" s="286"/>
      <c r="F348" s="246"/>
      <c r="G348" s="287"/>
      <c r="H348" s="76">
        <f t="shared" si="38"/>
        <v>68.57</v>
      </c>
      <c r="I348" s="76">
        <f t="shared" ref="I348:K348" si="43">SUM(I349:I350)</f>
        <v>68.57</v>
      </c>
      <c r="J348" s="76">
        <f t="shared" si="43"/>
        <v>0</v>
      </c>
      <c r="K348" s="76">
        <f t="shared" si="43"/>
        <v>0</v>
      </c>
      <c r="L348" s="266"/>
      <c r="M348" s="76"/>
    </row>
    <row r="349" ht="24" spans="1:13">
      <c r="A349" s="252" t="s">
        <v>535</v>
      </c>
      <c r="B349" s="73" t="s">
        <v>194</v>
      </c>
      <c r="C349" s="73" t="s">
        <v>166</v>
      </c>
      <c r="D349" s="73" t="s">
        <v>166</v>
      </c>
      <c r="E349" s="74" t="s">
        <v>134</v>
      </c>
      <c r="F349" s="246"/>
      <c r="G349" s="75" t="s">
        <v>416</v>
      </c>
      <c r="H349" s="76">
        <f t="shared" si="38"/>
        <v>61.59</v>
      </c>
      <c r="I349" s="76">
        <f>64.37-2.78</f>
        <v>61.59</v>
      </c>
      <c r="J349" s="76"/>
      <c r="K349" s="76"/>
      <c r="L349" s="266"/>
      <c r="M349" s="76"/>
    </row>
    <row r="350" ht="36" spans="1:13">
      <c r="A350" s="252" t="s">
        <v>535</v>
      </c>
      <c r="B350" s="73" t="s">
        <v>194</v>
      </c>
      <c r="C350" s="73" t="s">
        <v>166</v>
      </c>
      <c r="D350" s="73" t="s">
        <v>166</v>
      </c>
      <c r="E350" s="74" t="s">
        <v>417</v>
      </c>
      <c r="F350" s="246"/>
      <c r="G350" s="75" t="s">
        <v>418</v>
      </c>
      <c r="H350" s="76">
        <f t="shared" si="38"/>
        <v>6.98</v>
      </c>
      <c r="I350" s="76">
        <f>2.78+4.2</f>
        <v>6.98</v>
      </c>
      <c r="J350" s="76"/>
      <c r="K350" s="76"/>
      <c r="L350" s="266"/>
      <c r="M350" s="79" t="s">
        <v>419</v>
      </c>
    </row>
    <row r="351" ht="24" spans="1:13">
      <c r="A351" s="252" t="s">
        <v>536</v>
      </c>
      <c r="B351" s="73"/>
      <c r="C351" s="73"/>
      <c r="D351" s="73"/>
      <c r="E351" s="286"/>
      <c r="F351" s="246"/>
      <c r="G351" s="287"/>
      <c r="H351" s="76">
        <f t="shared" si="38"/>
        <v>51.88</v>
      </c>
      <c r="I351" s="76">
        <f t="shared" ref="I351:K351" si="44">SUM(I352:I354)</f>
        <v>51.88</v>
      </c>
      <c r="J351" s="76">
        <f t="shared" si="44"/>
        <v>0</v>
      </c>
      <c r="K351" s="76">
        <f t="shared" si="44"/>
        <v>0</v>
      </c>
      <c r="L351" s="266"/>
      <c r="M351" s="76"/>
    </row>
    <row r="352" ht="24" spans="1:13">
      <c r="A352" s="252" t="s">
        <v>536</v>
      </c>
      <c r="B352" s="73" t="s">
        <v>248</v>
      </c>
      <c r="C352" s="73" t="s">
        <v>166</v>
      </c>
      <c r="D352" s="73" t="s">
        <v>166</v>
      </c>
      <c r="E352" s="74" t="s">
        <v>134</v>
      </c>
      <c r="F352" s="246"/>
      <c r="G352" s="75" t="s">
        <v>416</v>
      </c>
      <c r="H352" s="76">
        <f t="shared" si="38"/>
        <v>38.58</v>
      </c>
      <c r="I352" s="76">
        <f>40.68-2.1</f>
        <v>38.58</v>
      </c>
      <c r="J352" s="76"/>
      <c r="K352" s="76"/>
      <c r="L352" s="266"/>
      <c r="M352" s="76"/>
    </row>
    <row r="353" ht="36" spans="1:13">
      <c r="A353" s="252" t="s">
        <v>536</v>
      </c>
      <c r="B353" s="73" t="s">
        <v>248</v>
      </c>
      <c r="C353" s="73" t="s">
        <v>166</v>
      </c>
      <c r="D353" s="73" t="s">
        <v>166</v>
      </c>
      <c r="E353" s="74" t="s">
        <v>417</v>
      </c>
      <c r="F353" s="246"/>
      <c r="G353" s="75" t="s">
        <v>418</v>
      </c>
      <c r="H353" s="76">
        <f t="shared" si="38"/>
        <v>6.3</v>
      </c>
      <c r="I353" s="76">
        <f>2.1+4.2</f>
        <v>6.3</v>
      </c>
      <c r="J353" s="76"/>
      <c r="K353" s="76"/>
      <c r="L353" s="266"/>
      <c r="M353" s="79" t="s">
        <v>419</v>
      </c>
    </row>
    <row r="354" ht="24" spans="1:13">
      <c r="A354" s="252" t="s">
        <v>536</v>
      </c>
      <c r="B354" s="73" t="s">
        <v>248</v>
      </c>
      <c r="C354" s="73" t="s">
        <v>166</v>
      </c>
      <c r="D354" s="73" t="s">
        <v>263</v>
      </c>
      <c r="E354" s="74" t="s">
        <v>210</v>
      </c>
      <c r="F354" s="241" t="s">
        <v>210</v>
      </c>
      <c r="G354" s="75" t="s">
        <v>537</v>
      </c>
      <c r="H354" s="76">
        <f t="shared" si="38"/>
        <v>7</v>
      </c>
      <c r="I354" s="76">
        <v>7</v>
      </c>
      <c r="J354" s="76"/>
      <c r="K354" s="76"/>
      <c r="L354" s="266">
        <v>10</v>
      </c>
      <c r="M354" s="80"/>
    </row>
    <row r="355" ht="24" spans="1:13">
      <c r="A355" s="252" t="s">
        <v>538</v>
      </c>
      <c r="B355" s="73"/>
      <c r="C355" s="73"/>
      <c r="D355" s="73"/>
      <c r="E355" s="286"/>
      <c r="F355" s="246"/>
      <c r="G355" s="287"/>
      <c r="H355" s="76">
        <f t="shared" si="38"/>
        <v>47.13</v>
      </c>
      <c r="I355" s="76">
        <f t="shared" ref="I355:K355" si="45">SUM(I356:I358)</f>
        <v>47.13</v>
      </c>
      <c r="J355" s="76">
        <f t="shared" si="45"/>
        <v>0</v>
      </c>
      <c r="K355" s="76">
        <f t="shared" si="45"/>
        <v>0</v>
      </c>
      <c r="L355" s="266"/>
      <c r="M355" s="76"/>
    </row>
    <row r="356" ht="24" spans="1:13">
      <c r="A356" s="252" t="s">
        <v>538</v>
      </c>
      <c r="B356" s="73" t="s">
        <v>133</v>
      </c>
      <c r="C356" s="243">
        <v>34</v>
      </c>
      <c r="D356" s="73" t="s">
        <v>166</v>
      </c>
      <c r="E356" s="74" t="s">
        <v>134</v>
      </c>
      <c r="F356" s="246"/>
      <c r="G356" s="75" t="s">
        <v>416</v>
      </c>
      <c r="H356" s="76">
        <f t="shared" si="38"/>
        <v>37.85</v>
      </c>
      <c r="I356" s="76">
        <f>39.93-2.08</f>
        <v>37.85</v>
      </c>
      <c r="J356" s="76"/>
      <c r="K356" s="76"/>
      <c r="L356" s="266"/>
      <c r="M356" s="76"/>
    </row>
    <row r="357" ht="36" spans="1:13">
      <c r="A357" s="252" t="s">
        <v>538</v>
      </c>
      <c r="B357" s="73" t="s">
        <v>133</v>
      </c>
      <c r="C357" s="243">
        <v>34</v>
      </c>
      <c r="D357" s="73" t="s">
        <v>166</v>
      </c>
      <c r="E357" s="74" t="s">
        <v>417</v>
      </c>
      <c r="F357" s="246"/>
      <c r="G357" s="75" t="s">
        <v>418</v>
      </c>
      <c r="H357" s="76">
        <f t="shared" si="38"/>
        <v>6.28</v>
      </c>
      <c r="I357" s="76">
        <f>4.2+2.08</f>
        <v>6.28</v>
      </c>
      <c r="J357" s="76"/>
      <c r="K357" s="76"/>
      <c r="L357" s="266"/>
      <c r="M357" s="79" t="s">
        <v>419</v>
      </c>
    </row>
    <row r="358" ht="24" spans="1:13">
      <c r="A358" s="252" t="s">
        <v>538</v>
      </c>
      <c r="B358" s="73" t="s">
        <v>133</v>
      </c>
      <c r="C358" s="73" t="s">
        <v>182</v>
      </c>
      <c r="D358" s="243">
        <v>99</v>
      </c>
      <c r="E358" s="74" t="s">
        <v>210</v>
      </c>
      <c r="F358" s="241" t="s">
        <v>210</v>
      </c>
      <c r="G358" s="75" t="s">
        <v>539</v>
      </c>
      <c r="H358" s="76">
        <f t="shared" si="38"/>
        <v>3</v>
      </c>
      <c r="I358" s="76">
        <v>3</v>
      </c>
      <c r="J358" s="76"/>
      <c r="K358" s="76"/>
      <c r="L358" s="266">
        <v>4</v>
      </c>
      <c r="M358" s="80"/>
    </row>
    <row r="359" ht="24" spans="1:13">
      <c r="A359" s="252" t="s">
        <v>540</v>
      </c>
      <c r="B359" s="73"/>
      <c r="C359" s="73"/>
      <c r="D359" s="73"/>
      <c r="E359" s="286"/>
      <c r="F359" s="246"/>
      <c r="G359" s="287"/>
      <c r="H359" s="76">
        <f t="shared" si="38"/>
        <v>1034.55</v>
      </c>
      <c r="I359" s="76">
        <f>SUM(I360:I361)</f>
        <v>1034.55</v>
      </c>
      <c r="J359" s="76">
        <f>SUM(J360:J360)</f>
        <v>0</v>
      </c>
      <c r="K359" s="76">
        <f>SUM(K360:K360)</f>
        <v>0</v>
      </c>
      <c r="L359" s="266"/>
      <c r="M359" s="76"/>
    </row>
    <row r="360" ht="24" spans="1:13">
      <c r="A360" s="252" t="s">
        <v>540</v>
      </c>
      <c r="B360" s="73" t="s">
        <v>380</v>
      </c>
      <c r="C360" s="73" t="s">
        <v>166</v>
      </c>
      <c r="D360" s="73" t="s">
        <v>166</v>
      </c>
      <c r="E360" s="74" t="s">
        <v>134</v>
      </c>
      <c r="F360" s="246"/>
      <c r="G360" s="75" t="s">
        <v>416</v>
      </c>
      <c r="H360" s="76">
        <f t="shared" si="38"/>
        <v>943.94</v>
      </c>
      <c r="I360" s="76">
        <f>974.35-30.41</f>
        <v>943.94</v>
      </c>
      <c r="J360" s="76"/>
      <c r="K360" s="76"/>
      <c r="L360" s="266"/>
      <c r="M360" s="76"/>
    </row>
    <row r="361" ht="36" spans="1:13">
      <c r="A361" s="252" t="s">
        <v>540</v>
      </c>
      <c r="B361" s="73" t="s">
        <v>380</v>
      </c>
      <c r="C361" s="73" t="s">
        <v>166</v>
      </c>
      <c r="D361" s="73" t="s">
        <v>166</v>
      </c>
      <c r="E361" s="74" t="s">
        <v>417</v>
      </c>
      <c r="F361" s="246"/>
      <c r="G361" s="75" t="s">
        <v>418</v>
      </c>
      <c r="H361" s="76">
        <f t="shared" si="38"/>
        <v>90.61</v>
      </c>
      <c r="I361" s="76">
        <f>60.2+30.41</f>
        <v>90.61</v>
      </c>
      <c r="J361" s="76"/>
      <c r="K361" s="76"/>
      <c r="L361" s="266"/>
      <c r="M361" s="79" t="s">
        <v>419</v>
      </c>
    </row>
    <row r="362" ht="24" spans="1:13">
      <c r="A362" s="252" t="s">
        <v>541</v>
      </c>
      <c r="B362" s="73"/>
      <c r="C362" s="73"/>
      <c r="D362" s="73"/>
      <c r="E362" s="286"/>
      <c r="F362" s="246"/>
      <c r="G362" s="287"/>
      <c r="H362" s="76">
        <f t="shared" si="38"/>
        <v>272.85</v>
      </c>
      <c r="I362" s="76">
        <f>SUM(I363:I364)</f>
        <v>272.85</v>
      </c>
      <c r="J362" s="76">
        <f>SUM(J363:J363)</f>
        <v>0</v>
      </c>
      <c r="K362" s="76">
        <f>SUM(K363:K363)</f>
        <v>0</v>
      </c>
      <c r="L362" s="266"/>
      <c r="M362" s="76"/>
    </row>
    <row r="363" ht="24" spans="1:13">
      <c r="A363" s="252" t="s">
        <v>541</v>
      </c>
      <c r="B363" s="73" t="s">
        <v>380</v>
      </c>
      <c r="C363" s="73" t="s">
        <v>145</v>
      </c>
      <c r="D363" s="73" t="s">
        <v>166</v>
      </c>
      <c r="E363" s="74" t="s">
        <v>134</v>
      </c>
      <c r="F363" s="246"/>
      <c r="G363" s="75" t="s">
        <v>416</v>
      </c>
      <c r="H363" s="76">
        <f t="shared" si="38"/>
        <v>239.28</v>
      </c>
      <c r="I363" s="76">
        <f>250.45-11.17</f>
        <v>239.28</v>
      </c>
      <c r="J363" s="76"/>
      <c r="K363" s="76"/>
      <c r="L363" s="266"/>
      <c r="M363" s="76"/>
    </row>
    <row r="364" ht="36" spans="1:13">
      <c r="A364" s="252" t="s">
        <v>541</v>
      </c>
      <c r="B364" s="73" t="s">
        <v>380</v>
      </c>
      <c r="C364" s="73" t="s">
        <v>145</v>
      </c>
      <c r="D364" s="73" t="s">
        <v>166</v>
      </c>
      <c r="E364" s="74" t="s">
        <v>417</v>
      </c>
      <c r="F364" s="246"/>
      <c r="G364" s="75" t="s">
        <v>418</v>
      </c>
      <c r="H364" s="76">
        <f t="shared" si="38"/>
        <v>33.57</v>
      </c>
      <c r="I364" s="76">
        <f>22.4+11.17</f>
        <v>33.57</v>
      </c>
      <c r="J364" s="76"/>
      <c r="K364" s="76"/>
      <c r="L364" s="266"/>
      <c r="M364" s="79" t="s">
        <v>419</v>
      </c>
    </row>
    <row r="365" ht="24" spans="1:13">
      <c r="A365" s="252" t="s">
        <v>542</v>
      </c>
      <c r="B365" s="73"/>
      <c r="C365" s="73"/>
      <c r="D365" s="73"/>
      <c r="E365" s="286"/>
      <c r="F365" s="246"/>
      <c r="G365" s="287"/>
      <c r="H365" s="76">
        <f t="shared" si="38"/>
        <v>372.65</v>
      </c>
      <c r="I365" s="76">
        <f t="shared" ref="I365:K365" si="46">SUM(I366:I368)</f>
        <v>355.15</v>
      </c>
      <c r="J365" s="76">
        <f t="shared" si="46"/>
        <v>17.5</v>
      </c>
      <c r="K365" s="76">
        <f t="shared" si="46"/>
        <v>0</v>
      </c>
      <c r="L365" s="266"/>
      <c r="M365" s="76"/>
    </row>
    <row r="366" ht="24" spans="1:13">
      <c r="A366" s="252" t="s">
        <v>542</v>
      </c>
      <c r="B366" s="73" t="s">
        <v>262</v>
      </c>
      <c r="C366" s="73" t="s">
        <v>225</v>
      </c>
      <c r="D366" s="73" t="s">
        <v>166</v>
      </c>
      <c r="E366" s="74" t="s">
        <v>134</v>
      </c>
      <c r="F366" s="246"/>
      <c r="G366" s="75" t="s">
        <v>416</v>
      </c>
      <c r="H366" s="76">
        <f t="shared" si="38"/>
        <v>318.85</v>
      </c>
      <c r="I366" s="76">
        <f>328.95-10.1</f>
        <v>318.85</v>
      </c>
      <c r="J366" s="76"/>
      <c r="K366" s="76"/>
      <c r="L366" s="266"/>
      <c r="M366" s="76"/>
    </row>
    <row r="367" ht="36" spans="1:13">
      <c r="A367" s="252" t="s">
        <v>542</v>
      </c>
      <c r="B367" s="73" t="s">
        <v>262</v>
      </c>
      <c r="C367" s="73" t="s">
        <v>225</v>
      </c>
      <c r="D367" s="73" t="s">
        <v>166</v>
      </c>
      <c r="E367" s="74" t="s">
        <v>417</v>
      </c>
      <c r="F367" s="246"/>
      <c r="G367" s="75" t="s">
        <v>418</v>
      </c>
      <c r="H367" s="76">
        <f t="shared" si="38"/>
        <v>28.3</v>
      </c>
      <c r="I367" s="76">
        <f>18.2+10.1</f>
        <v>28.3</v>
      </c>
      <c r="J367" s="76"/>
      <c r="K367" s="76"/>
      <c r="L367" s="266"/>
      <c r="M367" s="79" t="s">
        <v>419</v>
      </c>
    </row>
    <row r="368" ht="24" spans="1:13">
      <c r="A368" s="252" t="s">
        <v>542</v>
      </c>
      <c r="B368" s="73" t="s">
        <v>262</v>
      </c>
      <c r="C368" s="73" t="s">
        <v>225</v>
      </c>
      <c r="D368" s="73" t="s">
        <v>149</v>
      </c>
      <c r="E368" s="74" t="s">
        <v>210</v>
      </c>
      <c r="F368" s="241" t="s">
        <v>210</v>
      </c>
      <c r="G368" s="75" t="s">
        <v>543</v>
      </c>
      <c r="H368" s="76">
        <f t="shared" si="38"/>
        <v>25.5</v>
      </c>
      <c r="I368" s="279">
        <v>8</v>
      </c>
      <c r="J368" s="76">
        <v>17.5</v>
      </c>
      <c r="K368" s="76"/>
      <c r="L368" s="266">
        <v>18</v>
      </c>
      <c r="M368" s="80"/>
    </row>
    <row r="369" ht="24" spans="1:13">
      <c r="A369" s="252" t="s">
        <v>544</v>
      </c>
      <c r="B369" s="73"/>
      <c r="C369" s="73"/>
      <c r="D369" s="73"/>
      <c r="E369" s="286"/>
      <c r="F369" s="246"/>
      <c r="G369" s="287"/>
      <c r="H369" s="76">
        <f t="shared" si="38"/>
        <v>1906.71</v>
      </c>
      <c r="I369" s="76">
        <f>SUM(I370:I371)</f>
        <v>1906.71</v>
      </c>
      <c r="J369" s="76">
        <f>SUM(J100:J100)</f>
        <v>0</v>
      </c>
      <c r="K369" s="76">
        <f>SUM(K100:K100)</f>
        <v>0</v>
      </c>
      <c r="L369" s="266"/>
      <c r="M369" s="76"/>
    </row>
    <row r="370" ht="24" spans="1:13">
      <c r="A370" s="252" t="s">
        <v>544</v>
      </c>
      <c r="B370" s="73" t="s">
        <v>305</v>
      </c>
      <c r="C370" s="73" t="s">
        <v>166</v>
      </c>
      <c r="D370" s="73" t="s">
        <v>166</v>
      </c>
      <c r="E370" s="74" t="s">
        <v>134</v>
      </c>
      <c r="F370" s="246"/>
      <c r="G370" s="75" t="s">
        <v>416</v>
      </c>
      <c r="H370" s="76">
        <f t="shared" si="38"/>
        <v>1843.89</v>
      </c>
      <c r="I370" s="76">
        <f>1867.51-23.62</f>
        <v>1843.89</v>
      </c>
      <c r="J370" s="76"/>
      <c r="K370" s="76"/>
      <c r="L370" s="266"/>
      <c r="M370" s="76"/>
    </row>
    <row r="371" ht="36" spans="1:13">
      <c r="A371" s="252" t="s">
        <v>544</v>
      </c>
      <c r="B371" s="73" t="s">
        <v>305</v>
      </c>
      <c r="C371" s="73" t="s">
        <v>166</v>
      </c>
      <c r="D371" s="73" t="s">
        <v>166</v>
      </c>
      <c r="E371" s="74" t="s">
        <v>417</v>
      </c>
      <c r="F371" s="246"/>
      <c r="G371" s="75" t="s">
        <v>418</v>
      </c>
      <c r="H371" s="76">
        <f t="shared" si="38"/>
        <v>62.82</v>
      </c>
      <c r="I371" s="76">
        <f>23.62+39.2</f>
        <v>62.82</v>
      </c>
      <c r="J371" s="76"/>
      <c r="K371" s="76"/>
      <c r="L371" s="266"/>
      <c r="M371" s="79" t="s">
        <v>419</v>
      </c>
    </row>
    <row r="372" ht="24" spans="1:13">
      <c r="A372" s="252" t="s">
        <v>545</v>
      </c>
      <c r="B372" s="73"/>
      <c r="C372" s="73"/>
      <c r="D372" s="73"/>
      <c r="E372" s="286"/>
      <c r="F372" s="246"/>
      <c r="G372" s="287"/>
      <c r="H372" s="76">
        <f t="shared" si="38"/>
        <v>2197.01</v>
      </c>
      <c r="I372" s="76">
        <f t="shared" ref="I372:K372" si="47">SUM(I373:I375)</f>
        <v>597.01</v>
      </c>
      <c r="J372" s="76">
        <f t="shared" si="47"/>
        <v>1600</v>
      </c>
      <c r="K372" s="76">
        <f t="shared" si="47"/>
        <v>0</v>
      </c>
      <c r="L372" s="266"/>
      <c r="M372" s="76"/>
    </row>
    <row r="373" ht="24" spans="1:13">
      <c r="A373" s="252" t="s">
        <v>545</v>
      </c>
      <c r="B373" s="73" t="s">
        <v>305</v>
      </c>
      <c r="C373" s="73" t="s">
        <v>158</v>
      </c>
      <c r="D373" s="73" t="s">
        <v>166</v>
      </c>
      <c r="E373" s="74" t="s">
        <v>134</v>
      </c>
      <c r="F373" s="226"/>
      <c r="G373" s="75" t="s">
        <v>416</v>
      </c>
      <c r="H373" s="76">
        <f t="shared" si="38"/>
        <v>550.67</v>
      </c>
      <c r="I373" s="285">
        <f>552.21-1.54</f>
        <v>550.67</v>
      </c>
      <c r="J373" s="76"/>
      <c r="K373" s="76"/>
      <c r="L373" s="268"/>
      <c r="M373" s="80"/>
    </row>
    <row r="374" ht="36" spans="1:13">
      <c r="A374" s="252" t="s">
        <v>545</v>
      </c>
      <c r="B374" s="73" t="s">
        <v>305</v>
      </c>
      <c r="C374" s="73" t="s">
        <v>158</v>
      </c>
      <c r="D374" s="73" t="s">
        <v>166</v>
      </c>
      <c r="E374" s="74" t="s">
        <v>417</v>
      </c>
      <c r="F374" s="226"/>
      <c r="G374" s="75" t="s">
        <v>418</v>
      </c>
      <c r="H374" s="76">
        <f t="shared" si="38"/>
        <v>46.34</v>
      </c>
      <c r="I374" s="285">
        <f>44.8+1.54</f>
        <v>46.34</v>
      </c>
      <c r="J374" s="76"/>
      <c r="K374" s="76"/>
      <c r="L374" s="268"/>
      <c r="M374" s="79" t="s">
        <v>419</v>
      </c>
    </row>
    <row r="375" ht="24" spans="1:13">
      <c r="A375" s="252" t="s">
        <v>545</v>
      </c>
      <c r="B375" s="73" t="s">
        <v>305</v>
      </c>
      <c r="C375" s="73" t="s">
        <v>158</v>
      </c>
      <c r="D375" s="73" t="s">
        <v>166</v>
      </c>
      <c r="E375" s="74" t="s">
        <v>210</v>
      </c>
      <c r="F375" s="241" t="s">
        <v>210</v>
      </c>
      <c r="G375" s="75" t="s">
        <v>546</v>
      </c>
      <c r="H375" s="76">
        <f t="shared" si="38"/>
        <v>1600</v>
      </c>
      <c r="I375" s="285"/>
      <c r="J375" s="76">
        <v>1600</v>
      </c>
      <c r="K375" s="76"/>
      <c r="L375" s="266"/>
      <c r="M375" s="80"/>
    </row>
    <row r="376" ht="24" spans="1:13">
      <c r="A376" s="252" t="s">
        <v>547</v>
      </c>
      <c r="B376" s="73"/>
      <c r="C376" s="73"/>
      <c r="D376" s="73"/>
      <c r="E376" s="286"/>
      <c r="F376" s="246"/>
      <c r="G376" s="287"/>
      <c r="H376" s="76">
        <f t="shared" si="38"/>
        <v>299.77</v>
      </c>
      <c r="I376" s="76">
        <f t="shared" ref="I376:K376" si="48">SUM(I377:I380)</f>
        <v>299.77</v>
      </c>
      <c r="J376" s="76">
        <f t="shared" si="48"/>
        <v>0</v>
      </c>
      <c r="K376" s="76">
        <f t="shared" si="48"/>
        <v>0</v>
      </c>
      <c r="L376" s="266"/>
      <c r="M376" s="76"/>
    </row>
    <row r="377" ht="24" spans="1:13">
      <c r="A377" s="252" t="s">
        <v>547</v>
      </c>
      <c r="B377" s="73" t="s">
        <v>305</v>
      </c>
      <c r="C377" s="73" t="s">
        <v>158</v>
      </c>
      <c r="D377" s="73" t="s">
        <v>145</v>
      </c>
      <c r="E377" s="74" t="s">
        <v>134</v>
      </c>
      <c r="F377" s="246"/>
      <c r="G377" s="75" t="s">
        <v>416</v>
      </c>
      <c r="H377" s="76">
        <f t="shared" si="38"/>
        <v>251.66</v>
      </c>
      <c r="I377" s="76">
        <f>253.17-1.51</f>
        <v>251.66</v>
      </c>
      <c r="J377" s="76"/>
      <c r="K377" s="76"/>
      <c r="L377" s="266"/>
      <c r="M377" s="76"/>
    </row>
    <row r="378" ht="36" spans="1:13">
      <c r="A378" s="252" t="s">
        <v>547</v>
      </c>
      <c r="B378" s="73" t="s">
        <v>305</v>
      </c>
      <c r="C378" s="73" t="s">
        <v>158</v>
      </c>
      <c r="D378" s="73" t="s">
        <v>145</v>
      </c>
      <c r="E378" s="74" t="s">
        <v>417</v>
      </c>
      <c r="F378" s="246"/>
      <c r="G378" s="75" t="s">
        <v>418</v>
      </c>
      <c r="H378" s="76">
        <f t="shared" si="38"/>
        <v>21.11</v>
      </c>
      <c r="I378" s="76">
        <f>1.51+19.6</f>
        <v>21.11</v>
      </c>
      <c r="J378" s="76"/>
      <c r="K378" s="76"/>
      <c r="L378" s="266"/>
      <c r="M378" s="79" t="s">
        <v>419</v>
      </c>
    </row>
    <row r="379" ht="24" spans="1:13">
      <c r="A379" s="252" t="s">
        <v>547</v>
      </c>
      <c r="B379" s="73" t="s">
        <v>305</v>
      </c>
      <c r="C379" s="73" t="s">
        <v>158</v>
      </c>
      <c r="D379" s="73" t="s">
        <v>145</v>
      </c>
      <c r="E379" s="74" t="s">
        <v>210</v>
      </c>
      <c r="F379" s="241" t="s">
        <v>210</v>
      </c>
      <c r="G379" s="75" t="s">
        <v>548</v>
      </c>
      <c r="H379" s="76">
        <f t="shared" si="38"/>
        <v>5</v>
      </c>
      <c r="I379" s="279">
        <v>5</v>
      </c>
      <c r="J379" s="76"/>
      <c r="K379" s="76"/>
      <c r="L379" s="266">
        <v>7</v>
      </c>
      <c r="M379" s="80"/>
    </row>
    <row r="380" ht="24" spans="1:13">
      <c r="A380" s="252" t="s">
        <v>547</v>
      </c>
      <c r="B380" s="73" t="s">
        <v>305</v>
      </c>
      <c r="C380" s="73" t="s">
        <v>158</v>
      </c>
      <c r="D380" s="73" t="s">
        <v>145</v>
      </c>
      <c r="E380" s="74" t="s">
        <v>210</v>
      </c>
      <c r="F380" s="241" t="s">
        <v>210</v>
      </c>
      <c r="G380" s="75" t="s">
        <v>473</v>
      </c>
      <c r="H380" s="76">
        <f t="shared" si="38"/>
        <v>22</v>
      </c>
      <c r="I380" s="279">
        <v>22</v>
      </c>
      <c r="J380" s="76"/>
      <c r="K380" s="76"/>
      <c r="L380" s="266">
        <v>30</v>
      </c>
      <c r="M380" s="80"/>
    </row>
    <row r="381" ht="36" spans="1:13">
      <c r="A381" s="252" t="s">
        <v>549</v>
      </c>
      <c r="B381" s="73"/>
      <c r="C381" s="73"/>
      <c r="D381" s="73"/>
      <c r="E381" s="286"/>
      <c r="F381" s="246"/>
      <c r="G381" s="287"/>
      <c r="H381" s="76">
        <f t="shared" si="38"/>
        <v>161.69</v>
      </c>
      <c r="I381" s="76">
        <f t="shared" ref="I381:K381" si="49">SUM(I382:I384)</f>
        <v>143.69</v>
      </c>
      <c r="J381" s="76">
        <f t="shared" si="49"/>
        <v>18</v>
      </c>
      <c r="K381" s="76">
        <f t="shared" si="49"/>
        <v>0</v>
      </c>
      <c r="L381" s="266"/>
      <c r="M381" s="76"/>
    </row>
    <row r="382" ht="36" spans="1:13">
      <c r="A382" s="252" t="s">
        <v>549</v>
      </c>
      <c r="B382" s="73" t="s">
        <v>305</v>
      </c>
      <c r="C382" s="73" t="s">
        <v>158</v>
      </c>
      <c r="D382" s="73" t="s">
        <v>225</v>
      </c>
      <c r="E382" s="74" t="s">
        <v>134</v>
      </c>
      <c r="F382" s="226"/>
      <c r="G382" s="75" t="s">
        <v>416</v>
      </c>
      <c r="H382" s="76">
        <f t="shared" si="38"/>
        <v>121.29</v>
      </c>
      <c r="I382" s="279">
        <v>121.29</v>
      </c>
      <c r="J382" s="76"/>
      <c r="K382" s="76"/>
      <c r="L382" s="268"/>
      <c r="M382" s="80"/>
    </row>
    <row r="383" ht="36" spans="1:13">
      <c r="A383" s="252" t="s">
        <v>549</v>
      </c>
      <c r="B383" s="73" t="s">
        <v>305</v>
      </c>
      <c r="C383" s="73" t="s">
        <v>158</v>
      </c>
      <c r="D383" s="73" t="s">
        <v>225</v>
      </c>
      <c r="E383" s="74" t="s">
        <v>417</v>
      </c>
      <c r="F383" s="226"/>
      <c r="G383" s="75" t="s">
        <v>418</v>
      </c>
      <c r="H383" s="76">
        <f t="shared" si="38"/>
        <v>15.4</v>
      </c>
      <c r="I383" s="279">
        <v>15.4</v>
      </c>
      <c r="J383" s="76"/>
      <c r="K383" s="76"/>
      <c r="L383" s="268"/>
      <c r="M383" s="79" t="s">
        <v>419</v>
      </c>
    </row>
    <row r="384" ht="36" spans="1:13">
      <c r="A384" s="252" t="s">
        <v>549</v>
      </c>
      <c r="B384" s="73" t="s">
        <v>305</v>
      </c>
      <c r="C384" s="73" t="s">
        <v>158</v>
      </c>
      <c r="D384" s="73" t="s">
        <v>225</v>
      </c>
      <c r="E384" s="74" t="s">
        <v>210</v>
      </c>
      <c r="F384" s="241" t="s">
        <v>210</v>
      </c>
      <c r="G384" s="75" t="s">
        <v>550</v>
      </c>
      <c r="H384" s="76">
        <f t="shared" si="38"/>
        <v>25</v>
      </c>
      <c r="I384" s="279">
        <v>7</v>
      </c>
      <c r="J384" s="76">
        <v>18</v>
      </c>
      <c r="K384" s="76"/>
      <c r="L384" s="266">
        <v>20</v>
      </c>
      <c r="M384" s="77" t="s">
        <v>551</v>
      </c>
    </row>
    <row r="385" ht="24" spans="1:13">
      <c r="A385" s="252" t="s">
        <v>552</v>
      </c>
      <c r="B385" s="73"/>
      <c r="C385" s="73"/>
      <c r="D385" s="73"/>
      <c r="E385" s="286"/>
      <c r="F385" s="246"/>
      <c r="G385" s="287"/>
      <c r="H385" s="76">
        <f t="shared" si="38"/>
        <v>32679.74</v>
      </c>
      <c r="I385" s="76">
        <f t="shared" ref="I385:K385" si="50">SUM(I386:I388)</f>
        <v>32679.74</v>
      </c>
      <c r="J385" s="76">
        <f t="shared" si="50"/>
        <v>0</v>
      </c>
      <c r="K385" s="76">
        <f t="shared" si="50"/>
        <v>0</v>
      </c>
      <c r="L385" s="266"/>
      <c r="M385" s="76"/>
    </row>
    <row r="386" ht="24" spans="1:13">
      <c r="A386" s="252" t="s">
        <v>552</v>
      </c>
      <c r="B386" s="73" t="s">
        <v>232</v>
      </c>
      <c r="C386" s="73" t="s">
        <v>166</v>
      </c>
      <c r="D386" s="73" t="s">
        <v>166</v>
      </c>
      <c r="E386" s="74" t="s">
        <v>134</v>
      </c>
      <c r="F386" s="226"/>
      <c r="G386" s="75" t="s">
        <v>416</v>
      </c>
      <c r="H386" s="76">
        <f t="shared" si="38"/>
        <v>1001.47</v>
      </c>
      <c r="I386" s="76">
        <f>1035.66-34.19</f>
        <v>1001.47</v>
      </c>
      <c r="J386" s="76"/>
      <c r="K386" s="76"/>
      <c r="L386" s="293"/>
      <c r="M386" s="278"/>
    </row>
    <row r="387" ht="36" spans="1:13">
      <c r="A387" s="252" t="s">
        <v>552</v>
      </c>
      <c r="B387" s="73" t="s">
        <v>232</v>
      </c>
      <c r="C387" s="73" t="s">
        <v>166</v>
      </c>
      <c r="D387" s="73" t="s">
        <v>166</v>
      </c>
      <c r="E387" s="74" t="s">
        <v>417</v>
      </c>
      <c r="F387" s="226"/>
      <c r="G387" s="75" t="s">
        <v>418</v>
      </c>
      <c r="H387" s="76">
        <f t="shared" si="38"/>
        <v>99.99</v>
      </c>
      <c r="I387" s="76">
        <f>34.19+65.8</f>
        <v>99.99</v>
      </c>
      <c r="J387" s="76"/>
      <c r="K387" s="76"/>
      <c r="L387" s="293"/>
      <c r="M387" s="79" t="s">
        <v>419</v>
      </c>
    </row>
    <row r="388" ht="24" spans="1:13">
      <c r="A388" s="252" t="s">
        <v>553</v>
      </c>
      <c r="B388" s="73" t="s">
        <v>232</v>
      </c>
      <c r="C388" s="73" t="s">
        <v>225</v>
      </c>
      <c r="D388" s="73" t="s">
        <v>149</v>
      </c>
      <c r="E388" s="74" t="s">
        <v>134</v>
      </c>
      <c r="F388" s="246"/>
      <c r="G388" s="75" t="s">
        <v>554</v>
      </c>
      <c r="H388" s="76">
        <f t="shared" si="38"/>
        <v>31578.28</v>
      </c>
      <c r="I388" s="76">
        <v>31578.28</v>
      </c>
      <c r="J388" s="76"/>
      <c r="K388" s="76"/>
      <c r="L388" s="266"/>
      <c r="M388" s="76"/>
    </row>
    <row r="389" ht="24" spans="1:13">
      <c r="A389" s="252" t="s">
        <v>555</v>
      </c>
      <c r="B389" s="73"/>
      <c r="C389" s="73"/>
      <c r="D389" s="73"/>
      <c r="E389" s="286"/>
      <c r="F389" s="246"/>
      <c r="G389" s="287"/>
      <c r="H389" s="76">
        <f t="shared" si="38"/>
        <v>690.08</v>
      </c>
      <c r="I389" s="76">
        <f>SUM(I390:I391)</f>
        <v>690.08</v>
      </c>
      <c r="J389" s="76">
        <f>SUM(J390:J390)</f>
        <v>0</v>
      </c>
      <c r="K389" s="76">
        <f>SUM(K390:K390)</f>
        <v>0</v>
      </c>
      <c r="L389" s="266"/>
      <c r="M389" s="76"/>
    </row>
    <row r="390" ht="24" spans="1:13">
      <c r="A390" s="252" t="s">
        <v>555</v>
      </c>
      <c r="B390" s="73" t="s">
        <v>133</v>
      </c>
      <c r="C390" s="73" t="s">
        <v>145</v>
      </c>
      <c r="D390" s="73" t="s">
        <v>166</v>
      </c>
      <c r="E390" s="74" t="s">
        <v>134</v>
      </c>
      <c r="F390" s="246"/>
      <c r="G390" s="75" t="s">
        <v>416</v>
      </c>
      <c r="H390" s="76">
        <f t="shared" si="38"/>
        <v>654.81</v>
      </c>
      <c r="I390" s="76">
        <f>680.08-25.27</f>
        <v>654.81</v>
      </c>
      <c r="J390" s="76"/>
      <c r="K390" s="76"/>
      <c r="L390" s="266"/>
      <c r="M390" s="76"/>
    </row>
    <row r="391" ht="48" spans="1:13">
      <c r="A391" s="252" t="s">
        <v>555</v>
      </c>
      <c r="B391" s="73" t="s">
        <v>133</v>
      </c>
      <c r="C391" s="73" t="s">
        <v>145</v>
      </c>
      <c r="D391" s="73" t="s">
        <v>166</v>
      </c>
      <c r="E391" s="74" t="s">
        <v>417</v>
      </c>
      <c r="F391" s="246"/>
      <c r="G391" s="75" t="s">
        <v>418</v>
      </c>
      <c r="H391" s="76">
        <f t="shared" si="38"/>
        <v>35.27</v>
      </c>
      <c r="I391" s="76">
        <f>10+25.27</f>
        <v>35.27</v>
      </c>
      <c r="J391" s="76"/>
      <c r="K391" s="76"/>
      <c r="L391" s="266"/>
      <c r="M391" s="79" t="s">
        <v>556</v>
      </c>
    </row>
    <row r="392" ht="24" spans="1:13">
      <c r="A392" s="252" t="s">
        <v>557</v>
      </c>
      <c r="B392" s="73"/>
      <c r="C392" s="73"/>
      <c r="D392" s="73"/>
      <c r="E392" s="286"/>
      <c r="F392" s="246"/>
      <c r="G392" s="287"/>
      <c r="H392" s="76">
        <f t="shared" ref="H392:H426" si="51">I392+J392+K392</f>
        <v>534.24</v>
      </c>
      <c r="I392" s="76">
        <f>SUM(I393:I394)</f>
        <v>534.24</v>
      </c>
      <c r="J392" s="76">
        <f>SUM(J393:J393)</f>
        <v>0</v>
      </c>
      <c r="K392" s="76">
        <f>SUM(K393:K393)</f>
        <v>0</v>
      </c>
      <c r="L392" s="266"/>
      <c r="M392" s="76"/>
    </row>
    <row r="393" ht="24" spans="1:13">
      <c r="A393" s="252" t="s">
        <v>557</v>
      </c>
      <c r="B393" s="73" t="s">
        <v>133</v>
      </c>
      <c r="C393" s="73" t="s">
        <v>145</v>
      </c>
      <c r="D393" s="73" t="s">
        <v>166</v>
      </c>
      <c r="E393" s="74" t="s">
        <v>134</v>
      </c>
      <c r="F393" s="246"/>
      <c r="G393" s="75" t="s">
        <v>416</v>
      </c>
      <c r="H393" s="76">
        <f t="shared" si="51"/>
        <v>498.85</v>
      </c>
      <c r="I393" s="76">
        <f>524.24-25.39</f>
        <v>498.85</v>
      </c>
      <c r="J393" s="76"/>
      <c r="K393" s="76"/>
      <c r="L393" s="266"/>
      <c r="M393" s="76"/>
    </row>
    <row r="394" ht="48" spans="1:13">
      <c r="A394" s="252" t="s">
        <v>557</v>
      </c>
      <c r="B394" s="73" t="s">
        <v>133</v>
      </c>
      <c r="C394" s="73" t="s">
        <v>145</v>
      </c>
      <c r="D394" s="73" t="s">
        <v>166</v>
      </c>
      <c r="E394" s="74" t="s">
        <v>417</v>
      </c>
      <c r="F394" s="246"/>
      <c r="G394" s="75" t="s">
        <v>418</v>
      </c>
      <c r="H394" s="76">
        <f t="shared" si="51"/>
        <v>35.39</v>
      </c>
      <c r="I394" s="76">
        <f>25.39+10</f>
        <v>35.39</v>
      </c>
      <c r="J394" s="76"/>
      <c r="K394" s="76"/>
      <c r="L394" s="266"/>
      <c r="M394" s="79" t="s">
        <v>556</v>
      </c>
    </row>
    <row r="395" ht="24" spans="1:13">
      <c r="A395" s="252" t="s">
        <v>558</v>
      </c>
      <c r="B395" s="73"/>
      <c r="C395" s="73"/>
      <c r="D395" s="73"/>
      <c r="E395" s="286"/>
      <c r="F395" s="246"/>
      <c r="G395" s="287"/>
      <c r="H395" s="76">
        <f t="shared" si="51"/>
        <v>782.26</v>
      </c>
      <c r="I395" s="76">
        <f>SUM(I396:I397)</f>
        <v>742.26</v>
      </c>
      <c r="J395" s="76">
        <f>SUM(J396:J397)</f>
        <v>40</v>
      </c>
      <c r="K395" s="76">
        <f>SUM(K396:K396)</f>
        <v>0</v>
      </c>
      <c r="L395" s="266"/>
      <c r="M395" s="76"/>
    </row>
    <row r="396" ht="24" spans="1:13">
      <c r="A396" s="252" t="s">
        <v>558</v>
      </c>
      <c r="B396" s="73" t="s">
        <v>133</v>
      </c>
      <c r="C396" s="73" t="s">
        <v>145</v>
      </c>
      <c r="D396" s="73" t="s">
        <v>166</v>
      </c>
      <c r="E396" s="74" t="s">
        <v>134</v>
      </c>
      <c r="F396" s="246"/>
      <c r="G396" s="75" t="s">
        <v>416</v>
      </c>
      <c r="H396" s="76">
        <f t="shared" si="51"/>
        <v>708.21</v>
      </c>
      <c r="I396" s="76">
        <f>732.26-24.05</f>
        <v>708.21</v>
      </c>
      <c r="J396" s="76"/>
      <c r="K396" s="76"/>
      <c r="L396" s="266"/>
      <c r="M396" s="76"/>
    </row>
    <row r="397" ht="48" spans="1:13">
      <c r="A397" s="252" t="s">
        <v>558</v>
      </c>
      <c r="B397" s="73" t="s">
        <v>133</v>
      </c>
      <c r="C397" s="73" t="s">
        <v>145</v>
      </c>
      <c r="D397" s="73" t="s">
        <v>166</v>
      </c>
      <c r="E397" s="74" t="s">
        <v>417</v>
      </c>
      <c r="F397" s="246"/>
      <c r="G397" s="75" t="s">
        <v>418</v>
      </c>
      <c r="H397" s="76">
        <f t="shared" si="51"/>
        <v>74.05</v>
      </c>
      <c r="I397" s="76">
        <f>24.05+10</f>
        <v>34.05</v>
      </c>
      <c r="J397" s="76">
        <v>40</v>
      </c>
      <c r="K397" s="76"/>
      <c r="L397" s="266"/>
      <c r="M397" s="79" t="s">
        <v>556</v>
      </c>
    </row>
    <row r="398" ht="24" spans="1:13">
      <c r="A398" s="252" t="s">
        <v>559</v>
      </c>
      <c r="B398" s="73"/>
      <c r="C398" s="73"/>
      <c r="D398" s="73"/>
      <c r="E398" s="286"/>
      <c r="F398" s="246"/>
      <c r="G398" s="287"/>
      <c r="H398" s="76">
        <f t="shared" si="51"/>
        <v>666.48</v>
      </c>
      <c r="I398" s="76">
        <f>SUM(I399:I400)</f>
        <v>626.48</v>
      </c>
      <c r="J398" s="76">
        <f>SUM(J399:J400)</f>
        <v>40</v>
      </c>
      <c r="K398" s="76">
        <f>SUM(K399:K399)</f>
        <v>0</v>
      </c>
      <c r="L398" s="266"/>
      <c r="M398" s="76"/>
    </row>
    <row r="399" ht="24" spans="1:13">
      <c r="A399" s="252" t="s">
        <v>559</v>
      </c>
      <c r="B399" s="73" t="s">
        <v>133</v>
      </c>
      <c r="C399" s="73" t="s">
        <v>145</v>
      </c>
      <c r="D399" s="73" t="s">
        <v>166</v>
      </c>
      <c r="E399" s="74" t="s">
        <v>134</v>
      </c>
      <c r="F399" s="246"/>
      <c r="G399" s="75" t="s">
        <v>416</v>
      </c>
      <c r="H399" s="76">
        <f t="shared" si="51"/>
        <v>592.86</v>
      </c>
      <c r="I399" s="76">
        <f>616.48-23.62</f>
        <v>592.86</v>
      </c>
      <c r="J399" s="76"/>
      <c r="K399" s="76"/>
      <c r="L399" s="266"/>
      <c r="M399" s="76"/>
    </row>
    <row r="400" ht="48" spans="1:13">
      <c r="A400" s="252" t="s">
        <v>559</v>
      </c>
      <c r="B400" s="73" t="s">
        <v>133</v>
      </c>
      <c r="C400" s="73" t="s">
        <v>145</v>
      </c>
      <c r="D400" s="73" t="s">
        <v>166</v>
      </c>
      <c r="E400" s="74" t="s">
        <v>417</v>
      </c>
      <c r="F400" s="246"/>
      <c r="G400" s="75" t="s">
        <v>418</v>
      </c>
      <c r="H400" s="76">
        <f t="shared" si="51"/>
        <v>73.62</v>
      </c>
      <c r="I400" s="76">
        <f>10+23.62</f>
        <v>33.62</v>
      </c>
      <c r="J400" s="76">
        <v>40</v>
      </c>
      <c r="K400" s="76"/>
      <c r="L400" s="266"/>
      <c r="M400" s="79" t="s">
        <v>556</v>
      </c>
    </row>
    <row r="401" ht="24" spans="1:13">
      <c r="A401" s="252" t="s">
        <v>560</v>
      </c>
      <c r="B401" s="73"/>
      <c r="C401" s="73"/>
      <c r="D401" s="73"/>
      <c r="E401" s="286"/>
      <c r="F401" s="246"/>
      <c r="G401" s="287"/>
      <c r="H401" s="76">
        <f t="shared" si="51"/>
        <v>563.39</v>
      </c>
      <c r="I401" s="76">
        <f t="shared" ref="I401:K401" si="52">SUM(I402:I404)</f>
        <v>563.39</v>
      </c>
      <c r="J401" s="76">
        <f t="shared" si="52"/>
        <v>0</v>
      </c>
      <c r="K401" s="76">
        <f t="shared" si="52"/>
        <v>0</v>
      </c>
      <c r="L401" s="266"/>
      <c r="M401" s="76"/>
    </row>
    <row r="402" ht="24" spans="1:13">
      <c r="A402" s="252" t="s">
        <v>560</v>
      </c>
      <c r="B402" s="73" t="s">
        <v>133</v>
      </c>
      <c r="C402" s="73" t="s">
        <v>145</v>
      </c>
      <c r="D402" s="73" t="s">
        <v>166</v>
      </c>
      <c r="E402" s="74" t="s">
        <v>134</v>
      </c>
      <c r="F402" s="246"/>
      <c r="G402" s="75" t="s">
        <v>416</v>
      </c>
      <c r="H402" s="76">
        <f t="shared" si="51"/>
        <v>523.73</v>
      </c>
      <c r="I402" s="76">
        <f>543.39-19.66</f>
        <v>523.73</v>
      </c>
      <c r="J402" s="76"/>
      <c r="K402" s="76"/>
      <c r="L402" s="266"/>
      <c r="M402" s="76"/>
    </row>
    <row r="403" ht="48" spans="1:13">
      <c r="A403" s="252" t="s">
        <v>560</v>
      </c>
      <c r="B403" s="73" t="s">
        <v>133</v>
      </c>
      <c r="C403" s="73" t="s">
        <v>145</v>
      </c>
      <c r="D403" s="73" t="s">
        <v>225</v>
      </c>
      <c r="E403" s="74" t="s">
        <v>417</v>
      </c>
      <c r="F403" s="246"/>
      <c r="G403" s="75" t="s">
        <v>418</v>
      </c>
      <c r="H403" s="76">
        <f t="shared" si="51"/>
        <v>29.66</v>
      </c>
      <c r="I403" s="76">
        <f>19.66+10</f>
        <v>29.66</v>
      </c>
      <c r="J403" s="76"/>
      <c r="K403" s="76"/>
      <c r="L403" s="266"/>
      <c r="M403" s="79" t="s">
        <v>556</v>
      </c>
    </row>
    <row r="404" ht="25.2" spans="1:13">
      <c r="A404" s="252" t="s">
        <v>560</v>
      </c>
      <c r="B404" s="73" t="s">
        <v>133</v>
      </c>
      <c r="C404" s="73" t="s">
        <v>149</v>
      </c>
      <c r="D404" s="73" t="s">
        <v>149</v>
      </c>
      <c r="E404" s="74" t="s">
        <v>210</v>
      </c>
      <c r="F404" s="241" t="s">
        <v>210</v>
      </c>
      <c r="G404" s="75" t="s">
        <v>561</v>
      </c>
      <c r="H404" s="76">
        <f t="shared" si="51"/>
        <v>10</v>
      </c>
      <c r="I404" s="76">
        <v>10</v>
      </c>
      <c r="J404" s="76"/>
      <c r="K404" s="76"/>
      <c r="L404" s="266">
        <v>10</v>
      </c>
      <c r="M404" s="80"/>
    </row>
    <row r="405" ht="24" spans="1:13">
      <c r="A405" s="252" t="s">
        <v>562</v>
      </c>
      <c r="B405" s="73"/>
      <c r="C405" s="73"/>
      <c r="D405" s="73"/>
      <c r="E405" s="286"/>
      <c r="F405" s="246"/>
      <c r="G405" s="287"/>
      <c r="H405" s="76">
        <f t="shared" si="51"/>
        <v>476.71</v>
      </c>
      <c r="I405" s="76">
        <f>SUM(I406:I407)</f>
        <v>476.71</v>
      </c>
      <c r="J405" s="76">
        <f>SUM(J406:J406)</f>
        <v>0</v>
      </c>
      <c r="K405" s="76">
        <f>SUM(K406:K406)</f>
        <v>0</v>
      </c>
      <c r="L405" s="266"/>
      <c r="M405" s="76"/>
    </row>
    <row r="406" ht="24" spans="1:13">
      <c r="A406" s="252" t="s">
        <v>562</v>
      </c>
      <c r="B406" s="73" t="s">
        <v>133</v>
      </c>
      <c r="C406" s="73" t="s">
        <v>145</v>
      </c>
      <c r="D406" s="73" t="s">
        <v>166</v>
      </c>
      <c r="E406" s="74" t="s">
        <v>134</v>
      </c>
      <c r="F406" s="246"/>
      <c r="G406" s="75" t="s">
        <v>416</v>
      </c>
      <c r="H406" s="76">
        <f t="shared" si="51"/>
        <v>443.68</v>
      </c>
      <c r="I406" s="76">
        <f>466.71-23.03</f>
        <v>443.68</v>
      </c>
      <c r="J406" s="76"/>
      <c r="K406" s="76"/>
      <c r="L406" s="266"/>
      <c r="M406" s="76"/>
    </row>
    <row r="407" ht="48" spans="1:13">
      <c r="A407" s="252" t="s">
        <v>562</v>
      </c>
      <c r="B407" s="73" t="s">
        <v>133</v>
      </c>
      <c r="C407" s="73" t="s">
        <v>145</v>
      </c>
      <c r="D407" s="73" t="s">
        <v>166</v>
      </c>
      <c r="E407" s="74" t="s">
        <v>417</v>
      </c>
      <c r="F407" s="246"/>
      <c r="G407" s="75" t="s">
        <v>418</v>
      </c>
      <c r="H407" s="76">
        <f t="shared" si="51"/>
        <v>33.03</v>
      </c>
      <c r="I407" s="76">
        <f>23.03+10</f>
        <v>33.03</v>
      </c>
      <c r="J407" s="76"/>
      <c r="K407" s="76"/>
      <c r="L407" s="266"/>
      <c r="M407" s="79" t="s">
        <v>556</v>
      </c>
    </row>
    <row r="408" ht="24" spans="1:13">
      <c r="A408" s="252" t="s">
        <v>563</v>
      </c>
      <c r="B408" s="73"/>
      <c r="C408" s="73"/>
      <c r="D408" s="73"/>
      <c r="E408" s="286"/>
      <c r="F408" s="246"/>
      <c r="G408" s="287"/>
      <c r="H408" s="76">
        <f t="shared" si="51"/>
        <v>833.1</v>
      </c>
      <c r="I408" s="76">
        <f>SUM(I409:I410)</f>
        <v>823.1</v>
      </c>
      <c r="J408" s="76">
        <f>SUM(J409:J410)</f>
        <v>10</v>
      </c>
      <c r="K408" s="76">
        <f>SUM(K409:K409)</f>
        <v>0</v>
      </c>
      <c r="L408" s="266"/>
      <c r="M408" s="76"/>
    </row>
    <row r="409" ht="24" spans="1:13">
      <c r="A409" s="252" t="s">
        <v>563</v>
      </c>
      <c r="B409" s="73" t="s">
        <v>133</v>
      </c>
      <c r="C409" s="73" t="s">
        <v>145</v>
      </c>
      <c r="D409" s="73" t="s">
        <v>166</v>
      </c>
      <c r="E409" s="74" t="s">
        <v>134</v>
      </c>
      <c r="F409" s="246"/>
      <c r="G409" s="75" t="s">
        <v>416</v>
      </c>
      <c r="H409" s="76">
        <f t="shared" si="51"/>
        <v>781.84</v>
      </c>
      <c r="I409" s="76">
        <f>813.1-31.26</f>
        <v>781.84</v>
      </c>
      <c r="J409" s="76"/>
      <c r="K409" s="76"/>
      <c r="L409" s="266"/>
      <c r="M409" s="76"/>
    </row>
    <row r="410" ht="48" spans="1:13">
      <c r="A410" s="252" t="s">
        <v>563</v>
      </c>
      <c r="B410" s="73" t="s">
        <v>133</v>
      </c>
      <c r="C410" s="73" t="s">
        <v>145</v>
      </c>
      <c r="D410" s="73" t="s">
        <v>166</v>
      </c>
      <c r="E410" s="74" t="s">
        <v>417</v>
      </c>
      <c r="F410" s="246"/>
      <c r="G410" s="75" t="s">
        <v>418</v>
      </c>
      <c r="H410" s="76">
        <f t="shared" si="51"/>
        <v>51.26</v>
      </c>
      <c r="I410" s="76">
        <f>31.26+10</f>
        <v>41.26</v>
      </c>
      <c r="J410" s="76">
        <v>10</v>
      </c>
      <c r="K410" s="76"/>
      <c r="L410" s="266"/>
      <c r="M410" s="79" t="s">
        <v>556</v>
      </c>
    </row>
    <row r="411" ht="24" spans="1:13">
      <c r="A411" s="252" t="s">
        <v>564</v>
      </c>
      <c r="B411" s="73"/>
      <c r="C411" s="73"/>
      <c r="D411" s="73"/>
      <c r="E411" s="286"/>
      <c r="F411" s="246"/>
      <c r="G411" s="287"/>
      <c r="H411" s="76">
        <f t="shared" si="51"/>
        <v>1347.01</v>
      </c>
      <c r="I411" s="76">
        <f>SUM(I412:I413)</f>
        <v>1347.01</v>
      </c>
      <c r="J411" s="76">
        <f>SUM(J412:J412)</f>
        <v>0</v>
      </c>
      <c r="K411" s="76">
        <f>SUM(K412:K412)</f>
        <v>0</v>
      </c>
      <c r="L411" s="266"/>
      <c r="M411" s="76"/>
    </row>
    <row r="412" ht="24" spans="1:13">
      <c r="A412" s="252" t="s">
        <v>564</v>
      </c>
      <c r="B412" s="73" t="s">
        <v>133</v>
      </c>
      <c r="C412" s="73" t="s">
        <v>145</v>
      </c>
      <c r="D412" s="73" t="s">
        <v>166</v>
      </c>
      <c r="E412" s="74" t="s">
        <v>134</v>
      </c>
      <c r="F412" s="246"/>
      <c r="G412" s="75" t="s">
        <v>416</v>
      </c>
      <c r="H412" s="76">
        <f t="shared" si="51"/>
        <v>1266.65</v>
      </c>
      <c r="I412" s="76">
        <f>1317.01-50.36</f>
        <v>1266.65</v>
      </c>
      <c r="J412" s="76"/>
      <c r="K412" s="76"/>
      <c r="L412" s="266"/>
      <c r="M412" s="76"/>
    </row>
    <row r="413" ht="48" spans="1:13">
      <c r="A413" s="252" t="s">
        <v>564</v>
      </c>
      <c r="B413" s="73" t="s">
        <v>133</v>
      </c>
      <c r="C413" s="73" t="s">
        <v>145</v>
      </c>
      <c r="D413" s="73" t="s">
        <v>166</v>
      </c>
      <c r="E413" s="74" t="s">
        <v>417</v>
      </c>
      <c r="F413" s="246"/>
      <c r="G413" s="75" t="s">
        <v>418</v>
      </c>
      <c r="H413" s="76">
        <f t="shared" si="51"/>
        <v>80.36</v>
      </c>
      <c r="I413" s="76">
        <f>50.36+30</f>
        <v>80.36</v>
      </c>
      <c r="J413" s="76"/>
      <c r="K413" s="76"/>
      <c r="L413" s="266"/>
      <c r="M413" s="79" t="s">
        <v>556</v>
      </c>
    </row>
    <row r="414" ht="24" spans="1:13">
      <c r="A414" s="252" t="s">
        <v>565</v>
      </c>
      <c r="B414" s="73"/>
      <c r="C414" s="73"/>
      <c r="D414" s="73"/>
      <c r="E414" s="286"/>
      <c r="F414" s="246"/>
      <c r="G414" s="287"/>
      <c r="H414" s="76">
        <f t="shared" si="51"/>
        <v>274.11</v>
      </c>
      <c r="I414" s="76">
        <f t="shared" ref="I414:K414" si="53">SUM(I415)</f>
        <v>274.11</v>
      </c>
      <c r="J414" s="76">
        <f t="shared" si="53"/>
        <v>0</v>
      </c>
      <c r="K414" s="76">
        <f t="shared" si="53"/>
        <v>0</v>
      </c>
      <c r="L414" s="266"/>
      <c r="M414" s="76"/>
    </row>
    <row r="415" ht="24" spans="1:13">
      <c r="A415" s="252" t="s">
        <v>565</v>
      </c>
      <c r="B415" s="73" t="s">
        <v>165</v>
      </c>
      <c r="C415" s="73" t="s">
        <v>158</v>
      </c>
      <c r="D415" s="73" t="s">
        <v>166</v>
      </c>
      <c r="E415" s="74" t="s">
        <v>134</v>
      </c>
      <c r="F415" s="246"/>
      <c r="G415" s="75" t="s">
        <v>416</v>
      </c>
      <c r="H415" s="76">
        <f t="shared" si="51"/>
        <v>274.11</v>
      </c>
      <c r="I415" s="76">
        <v>274.11</v>
      </c>
      <c r="J415" s="76"/>
      <c r="K415" s="76"/>
      <c r="L415" s="266"/>
      <c r="M415" s="76"/>
    </row>
    <row r="416" ht="24" spans="1:13">
      <c r="A416" s="252" t="s">
        <v>566</v>
      </c>
      <c r="B416" s="73"/>
      <c r="C416" s="73"/>
      <c r="D416" s="73"/>
      <c r="E416" s="286"/>
      <c r="F416" s="246"/>
      <c r="G416" s="287"/>
      <c r="H416" s="76">
        <f t="shared" si="51"/>
        <v>382.42</v>
      </c>
      <c r="I416" s="76">
        <f t="shared" ref="I416:K416" si="54">SUM(I417)</f>
        <v>382.42</v>
      </c>
      <c r="J416" s="76">
        <f t="shared" si="54"/>
        <v>0</v>
      </c>
      <c r="K416" s="76">
        <f t="shared" si="54"/>
        <v>0</v>
      </c>
      <c r="L416" s="266"/>
      <c r="M416" s="76"/>
    </row>
    <row r="417" ht="24" spans="1:13">
      <c r="A417" s="252" t="s">
        <v>566</v>
      </c>
      <c r="B417" s="73" t="s">
        <v>165</v>
      </c>
      <c r="C417" s="73" t="s">
        <v>142</v>
      </c>
      <c r="D417" s="73" t="s">
        <v>166</v>
      </c>
      <c r="E417" s="74" t="s">
        <v>134</v>
      </c>
      <c r="F417" s="246"/>
      <c r="G417" s="75" t="s">
        <v>416</v>
      </c>
      <c r="H417" s="76">
        <f t="shared" si="51"/>
        <v>382.42</v>
      </c>
      <c r="I417" s="76">
        <v>382.42</v>
      </c>
      <c r="J417" s="76"/>
      <c r="K417" s="76"/>
      <c r="L417" s="266"/>
      <c r="M417" s="76"/>
    </row>
    <row r="418" ht="24" spans="1:13">
      <c r="A418" s="252" t="s">
        <v>567</v>
      </c>
      <c r="B418" s="73"/>
      <c r="C418" s="73"/>
      <c r="D418" s="73"/>
      <c r="E418" s="286"/>
      <c r="F418" s="246"/>
      <c r="G418" s="287"/>
      <c r="H418" s="76">
        <f t="shared" si="51"/>
        <v>878.2</v>
      </c>
      <c r="I418" s="76">
        <f t="shared" ref="I418:K418" si="55">SUM(I419:I421)</f>
        <v>842.2</v>
      </c>
      <c r="J418" s="76">
        <f t="shared" si="55"/>
        <v>36</v>
      </c>
      <c r="K418" s="76">
        <f t="shared" si="55"/>
        <v>0</v>
      </c>
      <c r="L418" s="266"/>
      <c r="M418" s="76"/>
    </row>
    <row r="419" ht="24" spans="1:13">
      <c r="A419" s="252" t="s">
        <v>568</v>
      </c>
      <c r="B419" s="73" t="s">
        <v>252</v>
      </c>
      <c r="C419" s="73" t="s">
        <v>225</v>
      </c>
      <c r="D419" s="73" t="s">
        <v>149</v>
      </c>
      <c r="E419" s="74" t="s">
        <v>210</v>
      </c>
      <c r="F419" s="241" t="s">
        <v>210</v>
      </c>
      <c r="G419" s="75" t="s">
        <v>569</v>
      </c>
      <c r="H419" s="76">
        <f t="shared" si="51"/>
        <v>20</v>
      </c>
      <c r="I419" s="76">
        <v>20</v>
      </c>
      <c r="J419" s="76"/>
      <c r="K419" s="76"/>
      <c r="L419" s="266">
        <v>20</v>
      </c>
      <c r="M419" s="80"/>
    </row>
    <row r="420" ht="24" spans="1:13">
      <c r="A420" s="252" t="s">
        <v>568</v>
      </c>
      <c r="B420" s="73" t="s">
        <v>252</v>
      </c>
      <c r="C420" s="73" t="s">
        <v>225</v>
      </c>
      <c r="D420" s="73" t="s">
        <v>158</v>
      </c>
      <c r="E420" s="74" t="s">
        <v>210</v>
      </c>
      <c r="F420" s="241" t="s">
        <v>210</v>
      </c>
      <c r="G420" s="75" t="s">
        <v>570</v>
      </c>
      <c r="H420" s="76">
        <f t="shared" si="51"/>
        <v>86</v>
      </c>
      <c r="I420" s="76">
        <v>50</v>
      </c>
      <c r="J420" s="76">
        <v>36</v>
      </c>
      <c r="K420" s="76"/>
      <c r="L420" s="266">
        <v>277</v>
      </c>
      <c r="M420" s="77" t="s">
        <v>571</v>
      </c>
    </row>
    <row r="421" ht="26.4" spans="1:13">
      <c r="A421" s="252" t="s">
        <v>568</v>
      </c>
      <c r="B421" s="73" t="s">
        <v>252</v>
      </c>
      <c r="C421" s="73" t="s">
        <v>225</v>
      </c>
      <c r="D421" s="73" t="s">
        <v>166</v>
      </c>
      <c r="E421" s="74" t="s">
        <v>210</v>
      </c>
      <c r="F421" s="241" t="s">
        <v>210</v>
      </c>
      <c r="G421" s="75" t="s">
        <v>572</v>
      </c>
      <c r="H421" s="76">
        <f t="shared" si="51"/>
        <v>772.2</v>
      </c>
      <c r="I421" s="76">
        <v>772.2</v>
      </c>
      <c r="J421" s="76"/>
      <c r="K421" s="76"/>
      <c r="L421" s="266">
        <v>772.2</v>
      </c>
      <c r="M421" s="77" t="s">
        <v>573</v>
      </c>
    </row>
    <row r="422" ht="24" spans="1:13">
      <c r="A422" s="252" t="s">
        <v>574</v>
      </c>
      <c r="B422" s="73"/>
      <c r="C422" s="73"/>
      <c r="D422" s="73"/>
      <c r="E422" s="286"/>
      <c r="F422" s="246"/>
      <c r="G422" s="287"/>
      <c r="H422" s="76">
        <f t="shared" si="51"/>
        <v>384.84</v>
      </c>
      <c r="I422" s="76">
        <f t="shared" ref="I422:K422" si="56">SUM(I423)</f>
        <v>384.84</v>
      </c>
      <c r="J422" s="76">
        <f t="shared" si="56"/>
        <v>0</v>
      </c>
      <c r="K422" s="76">
        <f t="shared" si="56"/>
        <v>0</v>
      </c>
      <c r="L422" s="266"/>
      <c r="M422" s="76"/>
    </row>
    <row r="423" ht="39.6" spans="1:13">
      <c r="A423" s="252" t="s">
        <v>574</v>
      </c>
      <c r="B423" s="73" t="s">
        <v>165</v>
      </c>
      <c r="C423" s="73" t="s">
        <v>225</v>
      </c>
      <c r="D423" s="73" t="s">
        <v>149</v>
      </c>
      <c r="E423" s="74" t="s">
        <v>210</v>
      </c>
      <c r="F423" s="241" t="s">
        <v>210</v>
      </c>
      <c r="G423" s="75" t="s">
        <v>575</v>
      </c>
      <c r="H423" s="76">
        <f t="shared" si="51"/>
        <v>384.84</v>
      </c>
      <c r="I423" s="76">
        <v>384.84</v>
      </c>
      <c r="J423" s="76"/>
      <c r="K423" s="76"/>
      <c r="L423" s="266">
        <v>497.5</v>
      </c>
      <c r="M423" s="77" t="s">
        <v>576</v>
      </c>
    </row>
    <row r="424" ht="24" spans="1:13">
      <c r="A424" s="252" t="s">
        <v>577</v>
      </c>
      <c r="B424" s="73"/>
      <c r="C424" s="73"/>
      <c r="D424" s="73"/>
      <c r="E424" s="286"/>
      <c r="F424" s="246"/>
      <c r="G424" s="287"/>
      <c r="H424" s="76">
        <f t="shared" si="51"/>
        <v>1156.94</v>
      </c>
      <c r="I424" s="76">
        <f t="shared" ref="I424:K424" si="57">SUM(I425:I426)</f>
        <v>1156.94</v>
      </c>
      <c r="J424" s="76">
        <f t="shared" si="57"/>
        <v>0</v>
      </c>
      <c r="K424" s="76">
        <f t="shared" si="57"/>
        <v>0</v>
      </c>
      <c r="L424" s="266"/>
      <c r="M424" s="76"/>
    </row>
    <row r="425" ht="25.2" spans="1:13">
      <c r="A425" s="252" t="s">
        <v>577</v>
      </c>
      <c r="B425" s="73" t="s">
        <v>165</v>
      </c>
      <c r="C425" s="73" t="s">
        <v>225</v>
      </c>
      <c r="D425" s="73" t="s">
        <v>149</v>
      </c>
      <c r="E425" s="74" t="s">
        <v>210</v>
      </c>
      <c r="F425" s="241" t="s">
        <v>210</v>
      </c>
      <c r="G425" s="75" t="s">
        <v>578</v>
      </c>
      <c r="H425" s="76">
        <f t="shared" si="51"/>
        <v>626.94</v>
      </c>
      <c r="I425" s="76">
        <v>626.94</v>
      </c>
      <c r="J425" s="76"/>
      <c r="K425" s="76"/>
      <c r="L425" s="266">
        <v>646.1</v>
      </c>
      <c r="M425" s="79" t="s">
        <v>579</v>
      </c>
    </row>
    <row r="426" ht="26.4" spans="1:13">
      <c r="A426" s="252" t="s">
        <v>577</v>
      </c>
      <c r="B426" s="73" t="s">
        <v>165</v>
      </c>
      <c r="C426" s="73" t="s">
        <v>225</v>
      </c>
      <c r="D426" s="73" t="s">
        <v>149</v>
      </c>
      <c r="E426" s="74" t="s">
        <v>210</v>
      </c>
      <c r="F426" s="241" t="s">
        <v>210</v>
      </c>
      <c r="G426" s="75" t="s">
        <v>575</v>
      </c>
      <c r="H426" s="76">
        <f t="shared" si="51"/>
        <v>530</v>
      </c>
      <c r="I426" s="76">
        <v>530</v>
      </c>
      <c r="J426" s="76"/>
      <c r="K426" s="76"/>
      <c r="L426" s="76">
        <v>625.78</v>
      </c>
      <c r="M426" s="80" t="s">
        <v>580</v>
      </c>
    </row>
  </sheetData>
  <mergeCells count="13">
    <mergeCell ref="A2:M2"/>
    <mergeCell ref="H4:K4"/>
    <mergeCell ref="H5:K5"/>
    <mergeCell ref="A7:G7"/>
    <mergeCell ref="A4:A6"/>
    <mergeCell ref="B4:B6"/>
    <mergeCell ref="C4:C6"/>
    <mergeCell ref="D4:D6"/>
    <mergeCell ref="E4:E6"/>
    <mergeCell ref="F4:F6"/>
    <mergeCell ref="G4:G6"/>
    <mergeCell ref="L4:L6"/>
    <mergeCell ref="M4:M6"/>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7"/>
  <sheetViews>
    <sheetView workbookViewId="0">
      <selection activeCell="I18" sqref="I18"/>
    </sheetView>
  </sheetViews>
  <sheetFormatPr defaultColWidth="8.88888888888889" defaultRowHeight="14.4" outlineLevelRow="6"/>
  <cols>
    <col min="2" max="2" width="9.42592592592593" customWidth="1"/>
    <col min="3" max="18" width="9.57407407407407" customWidth="1"/>
  </cols>
  <sheetData>
    <row r="1" spans="1:1">
      <c r="A1" s="3" t="s">
        <v>583</v>
      </c>
    </row>
    <row r="2" ht="22.8" spans="1:18">
      <c r="A2" s="233" t="s">
        <v>584</v>
      </c>
      <c r="B2" s="233"/>
      <c r="C2" s="233"/>
      <c r="D2" s="233"/>
      <c r="E2" s="233"/>
      <c r="F2" s="233"/>
      <c r="G2" s="233"/>
      <c r="H2" s="233"/>
      <c r="I2" s="233"/>
      <c r="J2" s="233"/>
      <c r="K2" s="233"/>
      <c r="L2" s="233"/>
      <c r="M2" s="233"/>
      <c r="N2" s="233"/>
      <c r="O2" s="233"/>
      <c r="P2" s="233"/>
      <c r="Q2" s="233"/>
      <c r="R2" s="233"/>
    </row>
    <row r="3" spans="1:22">
      <c r="A3" s="225" t="s">
        <v>2</v>
      </c>
      <c r="B3" s="225"/>
      <c r="C3" s="225"/>
      <c r="D3" s="225"/>
      <c r="E3" s="225"/>
      <c r="F3" s="225"/>
      <c r="G3" s="225"/>
      <c r="H3" s="225"/>
      <c r="I3" s="225"/>
      <c r="J3" s="225"/>
      <c r="K3" s="225"/>
      <c r="L3" s="225"/>
      <c r="M3" s="225"/>
      <c r="N3" s="225"/>
      <c r="O3" s="225"/>
      <c r="P3" s="225"/>
      <c r="Q3" s="225"/>
      <c r="R3" s="225"/>
      <c r="S3" s="232"/>
      <c r="T3" s="232"/>
      <c r="U3" s="232"/>
      <c r="V3" s="232"/>
    </row>
    <row r="4" spans="1:18">
      <c r="A4" s="234" t="s">
        <v>114</v>
      </c>
      <c r="B4" s="228" t="s">
        <v>585</v>
      </c>
      <c r="C4" s="228" t="s">
        <v>586</v>
      </c>
      <c r="D4" s="228"/>
      <c r="E4" s="228"/>
      <c r="F4" s="228"/>
      <c r="G4" s="228"/>
      <c r="H4" s="228" t="s">
        <v>587</v>
      </c>
      <c r="I4" s="228"/>
      <c r="J4" s="228"/>
      <c r="K4" s="228"/>
      <c r="L4" s="228"/>
      <c r="M4" s="228"/>
      <c r="N4" s="228" t="s">
        <v>588</v>
      </c>
      <c r="O4" s="228" t="s">
        <v>589</v>
      </c>
      <c r="P4" s="228"/>
      <c r="Q4" s="228"/>
      <c r="R4" s="228"/>
    </row>
    <row r="5" spans="1:18">
      <c r="A5" s="235"/>
      <c r="B5" s="228"/>
      <c r="C5" s="228" t="s">
        <v>590</v>
      </c>
      <c r="D5" s="228" t="s">
        <v>591</v>
      </c>
      <c r="E5" s="228" t="s">
        <v>592</v>
      </c>
      <c r="F5" s="228" t="s">
        <v>593</v>
      </c>
      <c r="G5" s="228" t="s">
        <v>594</v>
      </c>
      <c r="H5" s="228" t="s">
        <v>590</v>
      </c>
      <c r="I5" s="228" t="s">
        <v>595</v>
      </c>
      <c r="J5" s="228" t="s">
        <v>596</v>
      </c>
      <c r="K5" s="228" t="s">
        <v>597</v>
      </c>
      <c r="L5" s="228" t="s">
        <v>598</v>
      </c>
      <c r="M5" s="228" t="s">
        <v>599</v>
      </c>
      <c r="N5" s="228"/>
      <c r="O5" s="228" t="s">
        <v>590</v>
      </c>
      <c r="P5" s="228" t="s">
        <v>600</v>
      </c>
      <c r="Q5" s="228" t="s">
        <v>601</v>
      </c>
      <c r="R5" s="228" t="s">
        <v>589</v>
      </c>
    </row>
    <row r="6" ht="46" customHeight="1" spans="1:18">
      <c r="A6" s="229" t="s">
        <v>602</v>
      </c>
      <c r="B6" s="228"/>
      <c r="C6" s="228"/>
      <c r="D6" s="228">
        <v>3</v>
      </c>
      <c r="E6" s="228">
        <v>4</v>
      </c>
      <c r="F6" s="228">
        <v>5</v>
      </c>
      <c r="G6" s="228">
        <v>6</v>
      </c>
      <c r="H6" s="228">
        <v>7</v>
      </c>
      <c r="I6" s="228">
        <v>8</v>
      </c>
      <c r="J6" s="228">
        <v>9</v>
      </c>
      <c r="K6" s="228">
        <v>10</v>
      </c>
      <c r="L6" s="228">
        <v>11</v>
      </c>
      <c r="M6" s="228">
        <v>12</v>
      </c>
      <c r="N6" s="228"/>
      <c r="O6" s="228">
        <v>14</v>
      </c>
      <c r="P6" s="228">
        <v>15</v>
      </c>
      <c r="Q6" s="228">
        <v>16</v>
      </c>
      <c r="R6" s="228">
        <v>17</v>
      </c>
    </row>
    <row r="7" ht="44" customHeight="1" spans="1:18">
      <c r="A7" s="230" t="s">
        <v>603</v>
      </c>
      <c r="B7" s="221">
        <v>44623.09</v>
      </c>
      <c r="C7" s="221">
        <v>29422.76</v>
      </c>
      <c r="D7" s="221">
        <v>12893.25</v>
      </c>
      <c r="E7" s="221">
        <v>8908.91</v>
      </c>
      <c r="F7" s="221">
        <v>7620.6</v>
      </c>
      <c r="G7" s="221">
        <v>0</v>
      </c>
      <c r="H7" s="221">
        <v>6952.61</v>
      </c>
      <c r="I7" s="221">
        <v>3650.3</v>
      </c>
      <c r="J7" s="221">
        <v>0</v>
      </c>
      <c r="K7" s="221">
        <v>1822.36</v>
      </c>
      <c r="L7" s="221">
        <v>1138.96</v>
      </c>
      <c r="M7" s="221">
        <v>340.99</v>
      </c>
      <c r="N7" s="221">
        <v>3800.77</v>
      </c>
      <c r="O7" s="221">
        <v>4446.95</v>
      </c>
      <c r="P7" s="221">
        <v>0</v>
      </c>
      <c r="Q7" s="221">
        <v>1984.99</v>
      </c>
      <c r="R7" s="221">
        <v>2461.96</v>
      </c>
    </row>
  </sheetData>
  <mergeCells count="23">
    <mergeCell ref="A2:R2"/>
    <mergeCell ref="A3:R3"/>
    <mergeCell ref="C4:G4"/>
    <mergeCell ref="H4:M4"/>
    <mergeCell ref="O4:R4"/>
    <mergeCell ref="A4:A5"/>
    <mergeCell ref="B4:B6"/>
    <mergeCell ref="C5:C6"/>
    <mergeCell ref="D5:D6"/>
    <mergeCell ref="E5:E6"/>
    <mergeCell ref="F5:F6"/>
    <mergeCell ref="G5:G6"/>
    <mergeCell ref="H5:H6"/>
    <mergeCell ref="I5:I6"/>
    <mergeCell ref="J5:J6"/>
    <mergeCell ref="K5:K6"/>
    <mergeCell ref="L5:L6"/>
    <mergeCell ref="M5:M6"/>
    <mergeCell ref="N4:N6"/>
    <mergeCell ref="O5:O6"/>
    <mergeCell ref="P5:P6"/>
    <mergeCell ref="Q5:Q6"/>
    <mergeCell ref="R5:R6"/>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7"/>
  <sheetViews>
    <sheetView topLeftCell="C1" workbookViewId="0">
      <selection activeCell="S7" sqref="S7"/>
    </sheetView>
  </sheetViews>
  <sheetFormatPr defaultColWidth="8.88888888888889" defaultRowHeight="14.4" outlineLevelRow="6"/>
  <cols>
    <col min="2" max="2" width="9.66666666666667"/>
  </cols>
  <sheetData>
    <row r="1" spans="1:1">
      <c r="A1" s="3" t="s">
        <v>604</v>
      </c>
    </row>
    <row r="2" ht="22.8" spans="1:25">
      <c r="A2" s="224" t="s">
        <v>605</v>
      </c>
      <c r="B2" s="224"/>
      <c r="C2" s="224"/>
      <c r="D2" s="224"/>
      <c r="E2" s="224"/>
      <c r="F2" s="224"/>
      <c r="G2" s="224"/>
      <c r="H2" s="224"/>
      <c r="I2" s="224"/>
      <c r="J2" s="224"/>
      <c r="K2" s="224"/>
      <c r="L2" s="224"/>
      <c r="M2" s="224"/>
      <c r="N2" s="224"/>
      <c r="O2" s="224"/>
      <c r="P2" s="224"/>
      <c r="Q2" s="224"/>
      <c r="R2" s="224"/>
      <c r="S2" s="224"/>
      <c r="T2" s="224"/>
      <c r="U2" s="224"/>
      <c r="V2" s="224"/>
      <c r="W2" s="231"/>
      <c r="X2" s="231"/>
      <c r="Y2" s="231"/>
    </row>
    <row r="3" spans="1:28">
      <c r="A3" s="225" t="s">
        <v>2</v>
      </c>
      <c r="B3" s="225"/>
      <c r="C3" s="225"/>
      <c r="D3" s="225"/>
      <c r="E3" s="225"/>
      <c r="F3" s="225"/>
      <c r="G3" s="225"/>
      <c r="H3" s="225"/>
      <c r="I3" s="225"/>
      <c r="J3" s="225"/>
      <c r="K3" s="225"/>
      <c r="L3" s="225"/>
      <c r="M3" s="225"/>
      <c r="N3" s="225"/>
      <c r="O3" s="225"/>
      <c r="P3" s="225"/>
      <c r="Q3" s="225"/>
      <c r="R3" s="225"/>
      <c r="S3" s="225"/>
      <c r="T3" s="225"/>
      <c r="U3" s="225"/>
      <c r="V3" s="225"/>
      <c r="W3" s="232"/>
      <c r="X3" s="232"/>
      <c r="Y3" s="232"/>
      <c r="Z3" s="232"/>
      <c r="AA3" s="232"/>
      <c r="AB3" s="232"/>
    </row>
    <row r="4" ht="28" customHeight="1" spans="1:22">
      <c r="A4" s="226" t="s">
        <v>606</v>
      </c>
      <c r="B4" s="227" t="s">
        <v>585</v>
      </c>
      <c r="C4" s="228" t="s">
        <v>607</v>
      </c>
      <c r="D4" s="228" t="s">
        <v>608</v>
      </c>
      <c r="E4" s="228" t="s">
        <v>609</v>
      </c>
      <c r="F4" s="228" t="s">
        <v>610</v>
      </c>
      <c r="G4" s="228" t="s">
        <v>611</v>
      </c>
      <c r="H4" s="228" t="s">
        <v>612</v>
      </c>
      <c r="I4" s="228" t="s">
        <v>613</v>
      </c>
      <c r="J4" s="228" t="s">
        <v>614</v>
      </c>
      <c r="K4" s="228" t="s">
        <v>615</v>
      </c>
      <c r="L4" s="228" t="s">
        <v>616</v>
      </c>
      <c r="M4" s="228" t="s">
        <v>617</v>
      </c>
      <c r="N4" s="228" t="s">
        <v>618</v>
      </c>
      <c r="O4" s="228" t="s">
        <v>619</v>
      </c>
      <c r="P4" s="228" t="s">
        <v>620</v>
      </c>
      <c r="Q4" s="228" t="s">
        <v>621</v>
      </c>
      <c r="R4" s="228" t="s">
        <v>622</v>
      </c>
      <c r="S4" s="228" t="s">
        <v>422</v>
      </c>
      <c r="T4" s="228" t="s">
        <v>623</v>
      </c>
      <c r="U4" s="228" t="s">
        <v>624</v>
      </c>
      <c r="V4" s="228" t="s">
        <v>625</v>
      </c>
    </row>
    <row r="5" spans="1:22">
      <c r="A5" s="226"/>
      <c r="B5" s="227"/>
      <c r="C5" s="228"/>
      <c r="D5" s="228"/>
      <c r="E5" s="228"/>
      <c r="F5" s="228"/>
      <c r="G5" s="228"/>
      <c r="H5" s="228"/>
      <c r="I5" s="228"/>
      <c r="J5" s="228"/>
      <c r="K5" s="228"/>
      <c r="L5" s="228"/>
      <c r="M5" s="228"/>
      <c r="N5" s="228"/>
      <c r="O5" s="228"/>
      <c r="P5" s="228"/>
      <c r="Q5" s="228"/>
      <c r="R5" s="228"/>
      <c r="S5" s="228"/>
      <c r="T5" s="228"/>
      <c r="U5" s="228"/>
      <c r="V5" s="228"/>
    </row>
    <row r="6" spans="1:22">
      <c r="A6" s="229" t="s">
        <v>602</v>
      </c>
      <c r="B6" s="227"/>
      <c r="C6" s="228"/>
      <c r="D6" s="228"/>
      <c r="E6" s="228"/>
      <c r="F6" s="228"/>
      <c r="G6" s="228"/>
      <c r="H6" s="228"/>
      <c r="I6" s="228"/>
      <c r="J6" s="228"/>
      <c r="K6" s="228"/>
      <c r="L6" s="228"/>
      <c r="M6" s="228"/>
      <c r="N6" s="228"/>
      <c r="O6" s="228"/>
      <c r="P6" s="228"/>
      <c r="Q6" s="228"/>
      <c r="R6" s="228"/>
      <c r="S6" s="228"/>
      <c r="T6" s="228"/>
      <c r="U6" s="228"/>
      <c r="V6" s="228"/>
    </row>
    <row r="7" ht="28" customHeight="1" spans="1:22">
      <c r="A7" s="230" t="s">
        <v>603</v>
      </c>
      <c r="B7" s="221">
        <v>2784.29</v>
      </c>
      <c r="C7" s="221">
        <v>338.21</v>
      </c>
      <c r="D7" s="221">
        <v>56.82</v>
      </c>
      <c r="E7" s="221">
        <v>8.5</v>
      </c>
      <c r="F7" s="221">
        <v>25.94</v>
      </c>
      <c r="G7" s="221">
        <v>31.52</v>
      </c>
      <c r="H7" s="221">
        <v>0</v>
      </c>
      <c r="I7" s="221">
        <v>0</v>
      </c>
      <c r="J7" s="221">
        <v>25.24</v>
      </c>
      <c r="K7" s="221">
        <v>28.7</v>
      </c>
      <c r="L7" s="221">
        <v>3.04</v>
      </c>
      <c r="M7" s="221">
        <v>6.32</v>
      </c>
      <c r="N7" s="221">
        <v>14.68</v>
      </c>
      <c r="O7" s="221">
        <v>15.87</v>
      </c>
      <c r="P7" s="221">
        <v>9.1</v>
      </c>
      <c r="Q7" s="221">
        <v>514.48</v>
      </c>
      <c r="R7" s="221">
        <v>143.35</v>
      </c>
      <c r="S7" s="221">
        <v>62.27</v>
      </c>
      <c r="T7" s="221">
        <v>963.12</v>
      </c>
      <c r="U7" s="221">
        <v>0</v>
      </c>
      <c r="V7" s="221">
        <v>425.31</v>
      </c>
    </row>
  </sheetData>
  <mergeCells count="24">
    <mergeCell ref="A2:V2"/>
    <mergeCell ref="A3:V3"/>
    <mergeCell ref="A4:A5"/>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
  <sheetViews>
    <sheetView workbookViewId="0">
      <selection activeCell="I11" sqref="I11"/>
    </sheetView>
  </sheetViews>
  <sheetFormatPr defaultColWidth="8.88888888888889" defaultRowHeight="14.4" outlineLevelRow="6"/>
  <cols>
    <col min="2" max="2" width="10.7777777777778" customWidth="1"/>
    <col min="3" max="3" width="9" customWidth="1"/>
    <col min="4" max="4" width="10.7777777777778" customWidth="1"/>
    <col min="5" max="13" width="9" customWidth="1"/>
    <col min="14" max="14" width="10" customWidth="1"/>
  </cols>
  <sheetData>
    <row r="1" spans="1:1">
      <c r="A1" s="3" t="s">
        <v>626</v>
      </c>
    </row>
    <row r="2" ht="22.8" spans="2:14">
      <c r="B2" s="216" t="s">
        <v>627</v>
      </c>
      <c r="C2" s="216"/>
      <c r="D2" s="216"/>
      <c r="E2" s="216"/>
      <c r="F2" s="216"/>
      <c r="G2" s="216"/>
      <c r="H2" s="216"/>
      <c r="I2" s="216"/>
      <c r="J2" s="216"/>
      <c r="K2" s="216"/>
      <c r="L2" s="216"/>
      <c r="M2" s="216"/>
      <c r="N2" s="216"/>
    </row>
    <row r="3" spans="14:14">
      <c r="N3" s="222" t="s">
        <v>628</v>
      </c>
    </row>
    <row r="4" ht="28" customHeight="1" spans="1:14">
      <c r="A4" s="217" t="s">
        <v>114</v>
      </c>
      <c r="B4" s="217" t="s">
        <v>629</v>
      </c>
      <c r="C4" s="218" t="s">
        <v>630</v>
      </c>
      <c r="D4" s="218" t="s">
        <v>631</v>
      </c>
      <c r="E4" s="218" t="s">
        <v>632</v>
      </c>
      <c r="F4" s="218" t="s">
        <v>633</v>
      </c>
      <c r="G4" s="218" t="s">
        <v>634</v>
      </c>
      <c r="H4" s="218" t="s">
        <v>635</v>
      </c>
      <c r="I4" s="218" t="s">
        <v>636</v>
      </c>
      <c r="J4" s="218" t="s">
        <v>637</v>
      </c>
      <c r="K4" s="218" t="s">
        <v>638</v>
      </c>
      <c r="L4" s="218" t="s">
        <v>639</v>
      </c>
      <c r="M4" s="218" t="s">
        <v>640</v>
      </c>
      <c r="N4" s="223" t="s">
        <v>641</v>
      </c>
    </row>
    <row r="5" ht="28" customHeight="1" spans="1:14">
      <c r="A5" s="217"/>
      <c r="B5" s="217"/>
      <c r="C5" s="218"/>
      <c r="D5" s="218"/>
      <c r="E5" s="218"/>
      <c r="F5" s="218"/>
      <c r="G5" s="218"/>
      <c r="H5" s="218"/>
      <c r="I5" s="218"/>
      <c r="J5" s="218"/>
      <c r="K5" s="218"/>
      <c r="L5" s="218"/>
      <c r="M5" s="218"/>
      <c r="N5" s="223"/>
    </row>
    <row r="6" ht="28" customHeight="1" spans="1:14">
      <c r="A6" s="219" t="s">
        <v>602</v>
      </c>
      <c r="B6" s="217"/>
      <c r="C6" s="218"/>
      <c r="D6" s="218"/>
      <c r="E6" s="218"/>
      <c r="F6" s="218"/>
      <c r="G6" s="218"/>
      <c r="H6" s="218"/>
      <c r="I6" s="218"/>
      <c r="J6" s="218"/>
      <c r="K6" s="218"/>
      <c r="L6" s="218"/>
      <c r="M6" s="218"/>
      <c r="N6" s="223"/>
    </row>
    <row r="7" ht="28" customHeight="1" spans="1:14">
      <c r="A7" s="220" t="s">
        <v>603</v>
      </c>
      <c r="B7" s="221">
        <v>15510.56</v>
      </c>
      <c r="C7" s="221">
        <v>6.65</v>
      </c>
      <c r="D7" s="221">
        <v>12075.51</v>
      </c>
      <c r="E7" s="221">
        <v>0</v>
      </c>
      <c r="F7" s="221">
        <v>0</v>
      </c>
      <c r="G7" s="221">
        <v>2331.6</v>
      </c>
      <c r="H7" s="221">
        <v>0</v>
      </c>
      <c r="I7" s="221">
        <v>858.96</v>
      </c>
      <c r="J7" s="221">
        <v>0</v>
      </c>
      <c r="K7" s="221">
        <v>0</v>
      </c>
      <c r="L7" s="221">
        <v>0</v>
      </c>
      <c r="M7" s="221">
        <v>0</v>
      </c>
      <c r="N7" s="221">
        <v>237.84</v>
      </c>
    </row>
  </sheetData>
  <mergeCells count="15">
    <mergeCell ref="B2:N2"/>
    <mergeCell ref="A4:A5"/>
    <mergeCell ref="B4:B6"/>
    <mergeCell ref="C4:C6"/>
    <mergeCell ref="D4:D6"/>
    <mergeCell ref="E4:E6"/>
    <mergeCell ref="F4:F6"/>
    <mergeCell ref="G4:G6"/>
    <mergeCell ref="H4:H6"/>
    <mergeCell ref="I4:I6"/>
    <mergeCell ref="J4:J6"/>
    <mergeCell ref="K4:K6"/>
    <mergeCell ref="L4:L6"/>
    <mergeCell ref="M4:M6"/>
    <mergeCell ref="N4:N6"/>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5"/>
  <sheetViews>
    <sheetView topLeftCell="A7" workbookViewId="0">
      <selection activeCell="B12" sqref="B12"/>
    </sheetView>
  </sheetViews>
  <sheetFormatPr defaultColWidth="8.88888888888889" defaultRowHeight="14.4" outlineLevelCol="2"/>
  <cols>
    <col min="1" max="1" width="53.1759259259259" customWidth="1"/>
    <col min="2" max="2" width="13.2037037037037" customWidth="1"/>
    <col min="3" max="3" width="59.5555555555556" customWidth="1"/>
  </cols>
  <sheetData>
    <row r="1" spans="1:1">
      <c r="A1" s="3" t="s">
        <v>642</v>
      </c>
    </row>
    <row r="2" ht="29.4" spans="1:3">
      <c r="A2" s="206" t="s">
        <v>643</v>
      </c>
      <c r="B2" s="206"/>
      <c r="C2" s="206"/>
    </row>
    <row r="3" ht="23" customHeight="1" spans="1:3">
      <c r="A3" s="206"/>
      <c r="B3" s="206"/>
      <c r="C3" s="207" t="s">
        <v>2</v>
      </c>
    </row>
    <row r="4" ht="32" customHeight="1" spans="1:3">
      <c r="A4" s="208" t="s">
        <v>644</v>
      </c>
      <c r="B4" s="209">
        <f>B5+B9+B25</f>
        <v>67813.22</v>
      </c>
      <c r="C4" s="210"/>
    </row>
    <row r="5" ht="32" customHeight="1" spans="1:3">
      <c r="A5" s="208" t="s">
        <v>60</v>
      </c>
      <c r="B5" s="209">
        <f>SUM(B6:B8)</f>
        <v>5292</v>
      </c>
      <c r="C5" s="210"/>
    </row>
    <row r="6" ht="32" customHeight="1" spans="1:3">
      <c r="A6" s="211" t="s">
        <v>62</v>
      </c>
      <c r="B6" s="209">
        <v>2068</v>
      </c>
      <c r="C6" s="210"/>
    </row>
    <row r="7" ht="32" customHeight="1" spans="1:3">
      <c r="A7" s="211" t="s">
        <v>64</v>
      </c>
      <c r="B7" s="209">
        <v>182</v>
      </c>
      <c r="C7" s="210"/>
    </row>
    <row r="8" ht="32" customHeight="1" spans="1:3">
      <c r="A8" s="211" t="s">
        <v>66</v>
      </c>
      <c r="B8" s="209">
        <v>3042</v>
      </c>
      <c r="C8" s="212" t="s">
        <v>67</v>
      </c>
    </row>
    <row r="9" ht="32" customHeight="1" spans="1:3">
      <c r="A9" s="208" t="s">
        <v>69</v>
      </c>
      <c r="B9" s="209">
        <f>SUM(B10:B17)</f>
        <v>37915</v>
      </c>
      <c r="C9" s="212"/>
    </row>
    <row r="10" ht="32" customHeight="1" spans="1:3">
      <c r="A10" s="211" t="s">
        <v>71</v>
      </c>
      <c r="B10" s="209"/>
      <c r="C10" s="212"/>
    </row>
    <row r="11" ht="32" customHeight="1" spans="1:3">
      <c r="A11" s="211" t="s">
        <v>73</v>
      </c>
      <c r="B11" s="209">
        <v>6284</v>
      </c>
      <c r="C11" s="212" t="s">
        <v>74</v>
      </c>
    </row>
    <row r="12" ht="32" customHeight="1" spans="1:3">
      <c r="A12" s="211" t="s">
        <v>76</v>
      </c>
      <c r="B12" s="209">
        <v>1122</v>
      </c>
      <c r="C12" s="212" t="s">
        <v>77</v>
      </c>
    </row>
    <row r="13" ht="32" customHeight="1" spans="1:3">
      <c r="A13" s="211" t="s">
        <v>79</v>
      </c>
      <c r="B13" s="209">
        <v>2</v>
      </c>
      <c r="C13" s="212" t="s">
        <v>80</v>
      </c>
    </row>
    <row r="14" ht="32" customHeight="1" spans="1:3">
      <c r="A14" s="211" t="s">
        <v>82</v>
      </c>
      <c r="B14" s="209">
        <v>1626</v>
      </c>
      <c r="C14" s="212"/>
    </row>
    <row r="15" ht="32" customHeight="1" spans="1:3">
      <c r="A15" s="213" t="s">
        <v>84</v>
      </c>
      <c r="B15" s="209">
        <v>12</v>
      </c>
      <c r="C15" s="212" t="s">
        <v>85</v>
      </c>
    </row>
    <row r="16" ht="32" customHeight="1" spans="1:3">
      <c r="A16" s="214" t="s">
        <v>87</v>
      </c>
      <c r="B16" s="209">
        <v>2021</v>
      </c>
      <c r="C16" s="212" t="s">
        <v>88</v>
      </c>
    </row>
    <row r="17" ht="32" customHeight="1" spans="1:3">
      <c r="A17" s="211" t="s">
        <v>90</v>
      </c>
      <c r="B17" s="209">
        <f>SUM(B18:B24)</f>
        <v>26848</v>
      </c>
      <c r="C17" s="212"/>
    </row>
    <row r="18" ht="32" customHeight="1" spans="1:3">
      <c r="A18" s="211" t="s">
        <v>92</v>
      </c>
      <c r="B18" s="209">
        <v>14504</v>
      </c>
      <c r="C18" s="212" t="s">
        <v>93</v>
      </c>
    </row>
    <row r="19" ht="32" customHeight="1" spans="1:3">
      <c r="A19" s="215" t="s">
        <v>95</v>
      </c>
      <c r="B19" s="209">
        <v>1358</v>
      </c>
      <c r="C19" s="210"/>
    </row>
    <row r="20" ht="32" customHeight="1" spans="1:3">
      <c r="A20" s="215" t="s">
        <v>97</v>
      </c>
      <c r="B20" s="209">
        <v>515</v>
      </c>
      <c r="C20" s="210"/>
    </row>
    <row r="21" ht="32" customHeight="1" spans="1:3">
      <c r="A21" s="215" t="s">
        <v>99</v>
      </c>
      <c r="B21" s="209">
        <v>2509</v>
      </c>
      <c r="C21" s="210"/>
    </row>
    <row r="22" ht="32" customHeight="1" spans="1:3">
      <c r="A22" s="215" t="s">
        <v>101</v>
      </c>
      <c r="B22" s="209">
        <v>1200</v>
      </c>
      <c r="C22" s="210"/>
    </row>
    <row r="23" ht="32" customHeight="1" spans="1:3">
      <c r="A23" s="211" t="s">
        <v>103</v>
      </c>
      <c r="B23" s="209">
        <v>1651</v>
      </c>
      <c r="C23" s="210"/>
    </row>
    <row r="24" ht="32" customHeight="1" spans="1:3">
      <c r="A24" s="211" t="s">
        <v>105</v>
      </c>
      <c r="B24" s="209">
        <v>5111</v>
      </c>
      <c r="C24" s="210" t="s">
        <v>106</v>
      </c>
    </row>
    <row r="25" ht="32" customHeight="1" spans="1:3">
      <c r="A25" s="208" t="s">
        <v>108</v>
      </c>
      <c r="B25" s="209">
        <v>24606.22</v>
      </c>
      <c r="C25" s="212" t="s">
        <v>109</v>
      </c>
    </row>
  </sheetData>
  <mergeCells count="1">
    <mergeCell ref="A2:C2"/>
  </mergeCells>
  <conditionalFormatting sqref="C3">
    <cfRule type="cellIs" dxfId="0" priority="1" stopIfTrue="1" operator="equal">
      <formula>0</formula>
    </cfRule>
  </conditionalFormatting>
  <conditionalFormatting sqref="A24">
    <cfRule type="cellIs" dxfId="0" priority="4" stopIfTrue="1" operator="equal">
      <formula>0</formula>
    </cfRule>
  </conditionalFormatting>
  <conditionalFormatting sqref="B24">
    <cfRule type="cellIs" dxfId="0" priority="3" stopIfTrue="1" operator="equal">
      <formula>0</formula>
    </cfRule>
  </conditionalFormatting>
  <conditionalFormatting sqref="B25">
    <cfRule type="cellIs" dxfId="0" priority="2" stopIfTrue="1" operator="equal">
      <formula>0</formula>
    </cfRule>
  </conditionalFormatting>
  <conditionalFormatting sqref="A4:A14 A16:A18 A23 A25 C24:C25 B4:C23">
    <cfRule type="cellIs" dxfId="0" priority="5" stopIfTrue="1" operator="equal">
      <formula>0</formula>
    </cfRule>
  </conditionalFormatting>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M983042"/>
  <sheetViews>
    <sheetView showGridLines="0" showZeros="0" workbookViewId="0">
      <pane topLeftCell="B5" activePane="bottomRight" state="frozen"/>
      <selection activeCell="B33" sqref="B33"/>
    </sheetView>
  </sheetViews>
  <sheetFormatPr defaultColWidth="9.13888888888889" defaultRowHeight="14.25" customHeight="1"/>
  <cols>
    <col min="1" max="1" width="45" style="131" customWidth="1"/>
    <col min="2" max="5" width="17.5555555555556" style="131" customWidth="1"/>
    <col min="6" max="16383" width="9.13888888888889" style="131"/>
    <col min="16384" max="16384" width="9.13888888888889" style="201"/>
  </cols>
  <sheetData>
    <row r="1" customHeight="1" spans="1:1">
      <c r="A1" s="3" t="s">
        <v>645</v>
      </c>
    </row>
    <row r="2" s="131" customFormat="1" ht="26" customHeight="1" spans="1:5">
      <c r="A2" s="133" t="s">
        <v>646</v>
      </c>
      <c r="B2" s="133"/>
      <c r="C2" s="196"/>
      <c r="D2" s="133"/>
      <c r="E2" s="133"/>
    </row>
    <row r="3" s="131" customFormat="1" ht="15.75" customHeight="1" spans="1:5">
      <c r="A3" s="134"/>
      <c r="B3" s="134"/>
      <c r="C3" s="202"/>
      <c r="D3" s="134"/>
      <c r="E3" s="134" t="s">
        <v>113</v>
      </c>
    </row>
    <row r="4" s="131" customFormat="1" ht="39.75" customHeight="1" spans="1:5">
      <c r="A4" s="137" t="s">
        <v>647</v>
      </c>
      <c r="B4" s="190" t="s">
        <v>590</v>
      </c>
      <c r="C4" s="191" t="s">
        <v>648</v>
      </c>
      <c r="D4" s="192" t="s">
        <v>649</v>
      </c>
      <c r="E4" s="193" t="s">
        <v>650</v>
      </c>
    </row>
    <row r="5" s="131" customFormat="1" ht="20" customHeight="1" spans="1:5">
      <c r="A5" s="203" t="s">
        <v>651</v>
      </c>
      <c r="B5" s="195">
        <f t="shared" ref="B5:B21" si="0">C5+D5+E5</f>
        <v>169598986.92</v>
      </c>
      <c r="C5" s="195">
        <v>4968230</v>
      </c>
      <c r="D5" s="195">
        <v>160145221</v>
      </c>
      <c r="E5" s="195">
        <v>4485535.92</v>
      </c>
    </row>
    <row r="6" s="131" customFormat="1" ht="20" customHeight="1" spans="1:5">
      <c r="A6" s="194" t="s">
        <v>652</v>
      </c>
      <c r="B6" s="195">
        <f t="shared" si="0"/>
        <v>67407485.23</v>
      </c>
      <c r="C6" s="195">
        <v>2414880</v>
      </c>
      <c r="D6" s="195">
        <v>60994531.17</v>
      </c>
      <c r="E6" s="195">
        <v>3998074.06</v>
      </c>
    </row>
    <row r="7" s="131" customFormat="1" ht="20" customHeight="1" spans="1:5">
      <c r="A7" s="194" t="s">
        <v>653</v>
      </c>
      <c r="B7" s="195">
        <f t="shared" si="0"/>
        <v>100470039.83</v>
      </c>
      <c r="C7" s="195">
        <v>2269350</v>
      </c>
      <c r="D7" s="195">
        <v>98200689.83</v>
      </c>
      <c r="E7" s="195">
        <v>0</v>
      </c>
    </row>
    <row r="8" s="131" customFormat="1" ht="20" customHeight="1" spans="1:5">
      <c r="A8" s="138" t="s">
        <v>654</v>
      </c>
      <c r="B8" s="195">
        <f t="shared" si="0"/>
        <v>1049305.04</v>
      </c>
      <c r="C8" s="195">
        <v>213500</v>
      </c>
      <c r="D8" s="195">
        <v>450000</v>
      </c>
      <c r="E8" s="195">
        <v>385805.04</v>
      </c>
    </row>
    <row r="9" s="131" customFormat="1" ht="20" customHeight="1" spans="1:5">
      <c r="A9" s="138" t="s">
        <v>655</v>
      </c>
      <c r="B9" s="195">
        <f t="shared" si="0"/>
        <v>0</v>
      </c>
      <c r="C9" s="195">
        <v>0</v>
      </c>
      <c r="D9" s="195"/>
      <c r="E9" s="195"/>
    </row>
    <row r="10" s="131" customFormat="1" ht="20" customHeight="1" spans="1:5">
      <c r="A10" s="138" t="s">
        <v>656</v>
      </c>
      <c r="B10" s="195">
        <f t="shared" si="0"/>
        <v>653656.82</v>
      </c>
      <c r="C10" s="195">
        <v>52000</v>
      </c>
      <c r="D10" s="195">
        <v>500000</v>
      </c>
      <c r="E10" s="195">
        <v>101656.82</v>
      </c>
    </row>
    <row r="11" s="131" customFormat="1" ht="20" customHeight="1" spans="1:5">
      <c r="A11" s="138" t="s">
        <v>657</v>
      </c>
      <c r="B11" s="195">
        <f t="shared" si="0"/>
        <v>18500</v>
      </c>
      <c r="C11" s="195">
        <v>18500</v>
      </c>
      <c r="D11" s="195">
        <v>0</v>
      </c>
      <c r="E11" s="195">
        <v>0</v>
      </c>
    </row>
    <row r="12" s="131" customFormat="1" ht="20" customHeight="1" spans="1:5">
      <c r="A12" s="138" t="s">
        <v>658</v>
      </c>
      <c r="B12" s="195">
        <f t="shared" si="0"/>
        <v>0</v>
      </c>
      <c r="C12" s="195"/>
      <c r="D12" s="195"/>
      <c r="E12" s="195"/>
    </row>
    <row r="13" s="131" customFormat="1" ht="20" customHeight="1" spans="1:5">
      <c r="A13" s="138" t="s">
        <v>659</v>
      </c>
      <c r="B13" s="195">
        <f t="shared" si="0"/>
        <v>0</v>
      </c>
      <c r="C13" s="195"/>
      <c r="D13" s="195"/>
      <c r="E13" s="195"/>
    </row>
    <row r="14" s="131" customFormat="1" ht="20" customHeight="1" spans="1:5">
      <c r="A14" s="194" t="s">
        <v>660</v>
      </c>
      <c r="B14" s="195">
        <f t="shared" si="0"/>
        <v>169707455.72</v>
      </c>
      <c r="C14" s="195">
        <v>4204885.2</v>
      </c>
      <c r="D14" s="195">
        <v>160145221</v>
      </c>
      <c r="E14" s="195">
        <v>5357349.52</v>
      </c>
    </row>
    <row r="15" s="131" customFormat="1" ht="20" customHeight="1" spans="1:5">
      <c r="A15" s="194" t="s">
        <v>661</v>
      </c>
      <c r="B15" s="195">
        <f t="shared" si="0"/>
        <v>165229304.64</v>
      </c>
      <c r="C15" s="195">
        <v>2386885.2</v>
      </c>
      <c r="D15" s="195">
        <v>159995221</v>
      </c>
      <c r="E15" s="195">
        <v>2847198.44</v>
      </c>
    </row>
    <row r="16" s="131" customFormat="1" ht="20" customHeight="1" spans="1:5">
      <c r="A16" s="194" t="s">
        <v>662</v>
      </c>
      <c r="B16" s="195">
        <f t="shared" si="0"/>
        <v>1968000</v>
      </c>
      <c r="C16" s="195">
        <v>1818000</v>
      </c>
      <c r="D16" s="195">
        <v>150000</v>
      </c>
      <c r="E16" s="195">
        <v>0</v>
      </c>
    </row>
    <row r="17" s="131" customFormat="1" ht="20" customHeight="1" spans="1:5">
      <c r="A17" s="138" t="s">
        <v>663</v>
      </c>
      <c r="B17" s="195">
        <f t="shared" si="0"/>
        <v>630000</v>
      </c>
      <c r="C17" s="195">
        <v>0</v>
      </c>
      <c r="D17" s="195">
        <v>0</v>
      </c>
      <c r="E17" s="195">
        <v>630000</v>
      </c>
    </row>
    <row r="18" s="131" customFormat="1" ht="20" customHeight="1" spans="1:5">
      <c r="A18" s="138" t="s">
        <v>664</v>
      </c>
      <c r="B18" s="195">
        <f t="shared" si="0"/>
        <v>0</v>
      </c>
      <c r="C18" s="195"/>
      <c r="D18" s="195"/>
      <c r="E18" s="195"/>
    </row>
    <row r="19" s="131" customFormat="1" ht="20" customHeight="1" spans="1:5">
      <c r="A19" s="138" t="s">
        <v>665</v>
      </c>
      <c r="B19" s="195">
        <f t="shared" si="0"/>
        <v>0</v>
      </c>
      <c r="C19" s="195"/>
      <c r="D19" s="195"/>
      <c r="E19" s="195"/>
    </row>
    <row r="20" s="131" customFormat="1" ht="20" customHeight="1" spans="1:5">
      <c r="A20" s="203" t="s">
        <v>666</v>
      </c>
      <c r="B20" s="195">
        <f t="shared" si="0"/>
        <v>-108468.8</v>
      </c>
      <c r="C20" s="195">
        <v>763344.8</v>
      </c>
      <c r="D20" s="195">
        <v>0</v>
      </c>
      <c r="E20" s="195">
        <v>-871813.6</v>
      </c>
    </row>
    <row r="21" s="131" customFormat="1" ht="20" customHeight="1" spans="1:5">
      <c r="A21" s="194" t="s">
        <v>667</v>
      </c>
      <c r="B21" s="195">
        <f t="shared" si="0"/>
        <v>107967142.89</v>
      </c>
      <c r="C21" s="195">
        <v>58640355.53</v>
      </c>
      <c r="D21" s="195">
        <v>36237775.97</v>
      </c>
      <c r="E21" s="195">
        <v>13089011.39</v>
      </c>
    </row>
    <row r="22" s="131" customFormat="1" ht="19.5" customHeight="1" spans="1:5">
      <c r="A22" s="204"/>
      <c r="B22" s="205"/>
      <c r="C22" s="204"/>
      <c r="D22" s="205"/>
      <c r="E22" s="205"/>
    </row>
  </sheetData>
  <mergeCells count="1024">
    <mergeCell ref="A2:E2"/>
    <mergeCell ref="IV2:JA2"/>
    <mergeCell ref="SR2:SW2"/>
    <mergeCell ref="ACN2:ACS2"/>
    <mergeCell ref="AMJ2:AMO2"/>
    <mergeCell ref="AWF2:AWK2"/>
    <mergeCell ref="BGB2:BGG2"/>
    <mergeCell ref="BPX2:BQC2"/>
    <mergeCell ref="BZT2:BZY2"/>
    <mergeCell ref="CJP2:CJU2"/>
    <mergeCell ref="CTL2:CTQ2"/>
    <mergeCell ref="DDH2:DDM2"/>
    <mergeCell ref="DND2:DNI2"/>
    <mergeCell ref="DWZ2:DXE2"/>
    <mergeCell ref="EGV2:EHA2"/>
    <mergeCell ref="EQR2:EQW2"/>
    <mergeCell ref="FAN2:FAS2"/>
    <mergeCell ref="FKJ2:FKO2"/>
    <mergeCell ref="FUF2:FUK2"/>
    <mergeCell ref="GEB2:GEG2"/>
    <mergeCell ref="GNX2:GOC2"/>
    <mergeCell ref="GXT2:GXY2"/>
    <mergeCell ref="HHP2:HHU2"/>
    <mergeCell ref="HRL2:HRQ2"/>
    <mergeCell ref="IBH2:IBM2"/>
    <mergeCell ref="ILD2:ILI2"/>
    <mergeCell ref="IUZ2:IVE2"/>
    <mergeCell ref="JEV2:JFA2"/>
    <mergeCell ref="JOR2:JOW2"/>
    <mergeCell ref="JYN2:JYS2"/>
    <mergeCell ref="KIJ2:KIO2"/>
    <mergeCell ref="KSF2:KSK2"/>
    <mergeCell ref="LCB2:LCG2"/>
    <mergeCell ref="LLX2:LMC2"/>
    <mergeCell ref="LVT2:LVY2"/>
    <mergeCell ref="MFP2:MFU2"/>
    <mergeCell ref="MPL2:MPQ2"/>
    <mergeCell ref="MZH2:MZM2"/>
    <mergeCell ref="NJD2:NJI2"/>
    <mergeCell ref="NSZ2:NTE2"/>
    <mergeCell ref="OCV2:ODA2"/>
    <mergeCell ref="OMR2:OMW2"/>
    <mergeCell ref="OWN2:OWS2"/>
    <mergeCell ref="PGJ2:PGO2"/>
    <mergeCell ref="PQF2:PQK2"/>
    <mergeCell ref="QAB2:QAG2"/>
    <mergeCell ref="QJX2:QKC2"/>
    <mergeCell ref="QTT2:QTY2"/>
    <mergeCell ref="RDP2:RDU2"/>
    <mergeCell ref="RNL2:RNQ2"/>
    <mergeCell ref="RXH2:RXM2"/>
    <mergeCell ref="SHD2:SHI2"/>
    <mergeCell ref="SQZ2:SRE2"/>
    <mergeCell ref="TAV2:TBA2"/>
    <mergeCell ref="TKR2:TKW2"/>
    <mergeCell ref="TUN2:TUS2"/>
    <mergeCell ref="UEJ2:UEO2"/>
    <mergeCell ref="UOF2:UOK2"/>
    <mergeCell ref="UYB2:UYG2"/>
    <mergeCell ref="VHX2:VIC2"/>
    <mergeCell ref="VRT2:VRY2"/>
    <mergeCell ref="WBP2:WBU2"/>
    <mergeCell ref="WLL2:WLQ2"/>
    <mergeCell ref="WVH2:WVM2"/>
    <mergeCell ref="A65538:E65538"/>
    <mergeCell ref="IV65538:JA65538"/>
    <mergeCell ref="SR65538:SW65538"/>
    <mergeCell ref="ACN65538:ACS65538"/>
    <mergeCell ref="AMJ65538:AMO65538"/>
    <mergeCell ref="AWF65538:AWK65538"/>
    <mergeCell ref="BGB65538:BGG65538"/>
    <mergeCell ref="BPX65538:BQC65538"/>
    <mergeCell ref="BZT65538:BZY65538"/>
    <mergeCell ref="CJP65538:CJU65538"/>
    <mergeCell ref="CTL65538:CTQ65538"/>
    <mergeCell ref="DDH65538:DDM65538"/>
    <mergeCell ref="DND65538:DNI65538"/>
    <mergeCell ref="DWZ65538:DXE65538"/>
    <mergeCell ref="EGV65538:EHA65538"/>
    <mergeCell ref="EQR65538:EQW65538"/>
    <mergeCell ref="FAN65538:FAS65538"/>
    <mergeCell ref="FKJ65538:FKO65538"/>
    <mergeCell ref="FUF65538:FUK65538"/>
    <mergeCell ref="GEB65538:GEG65538"/>
    <mergeCell ref="GNX65538:GOC65538"/>
    <mergeCell ref="GXT65538:GXY65538"/>
    <mergeCell ref="HHP65538:HHU65538"/>
    <mergeCell ref="HRL65538:HRQ65538"/>
    <mergeCell ref="IBH65538:IBM65538"/>
    <mergeCell ref="ILD65538:ILI65538"/>
    <mergeCell ref="IUZ65538:IVE65538"/>
    <mergeCell ref="JEV65538:JFA65538"/>
    <mergeCell ref="JOR65538:JOW65538"/>
    <mergeCell ref="JYN65538:JYS65538"/>
    <mergeCell ref="KIJ65538:KIO65538"/>
    <mergeCell ref="KSF65538:KSK65538"/>
    <mergeCell ref="LCB65538:LCG65538"/>
    <mergeCell ref="LLX65538:LMC65538"/>
    <mergeCell ref="LVT65538:LVY65538"/>
    <mergeCell ref="MFP65538:MFU65538"/>
    <mergeCell ref="MPL65538:MPQ65538"/>
    <mergeCell ref="MZH65538:MZM65538"/>
    <mergeCell ref="NJD65538:NJI65538"/>
    <mergeCell ref="NSZ65538:NTE65538"/>
    <mergeCell ref="OCV65538:ODA65538"/>
    <mergeCell ref="OMR65538:OMW65538"/>
    <mergeCell ref="OWN65538:OWS65538"/>
    <mergeCell ref="PGJ65538:PGO65538"/>
    <mergeCell ref="PQF65538:PQK65538"/>
    <mergeCell ref="QAB65538:QAG65538"/>
    <mergeCell ref="QJX65538:QKC65538"/>
    <mergeCell ref="QTT65538:QTY65538"/>
    <mergeCell ref="RDP65538:RDU65538"/>
    <mergeCell ref="RNL65538:RNQ65538"/>
    <mergeCell ref="RXH65538:RXM65538"/>
    <mergeCell ref="SHD65538:SHI65538"/>
    <mergeCell ref="SQZ65538:SRE65538"/>
    <mergeCell ref="TAV65538:TBA65538"/>
    <mergeCell ref="TKR65538:TKW65538"/>
    <mergeCell ref="TUN65538:TUS65538"/>
    <mergeCell ref="UEJ65538:UEO65538"/>
    <mergeCell ref="UOF65538:UOK65538"/>
    <mergeCell ref="UYB65538:UYG65538"/>
    <mergeCell ref="VHX65538:VIC65538"/>
    <mergeCell ref="VRT65538:VRY65538"/>
    <mergeCell ref="WBP65538:WBU65538"/>
    <mergeCell ref="WLL65538:WLQ65538"/>
    <mergeCell ref="WVH65538:WVM65538"/>
    <mergeCell ref="A131074:E131074"/>
    <mergeCell ref="IV131074:JA131074"/>
    <mergeCell ref="SR131074:SW131074"/>
    <mergeCell ref="ACN131074:ACS131074"/>
    <mergeCell ref="AMJ131074:AMO131074"/>
    <mergeCell ref="AWF131074:AWK131074"/>
    <mergeCell ref="BGB131074:BGG131074"/>
    <mergeCell ref="BPX131074:BQC131074"/>
    <mergeCell ref="BZT131074:BZY131074"/>
    <mergeCell ref="CJP131074:CJU131074"/>
    <mergeCell ref="CTL131074:CTQ131074"/>
    <mergeCell ref="DDH131074:DDM131074"/>
    <mergeCell ref="DND131074:DNI131074"/>
    <mergeCell ref="DWZ131074:DXE131074"/>
    <mergeCell ref="EGV131074:EHA131074"/>
    <mergeCell ref="EQR131074:EQW131074"/>
    <mergeCell ref="FAN131074:FAS131074"/>
    <mergeCell ref="FKJ131074:FKO131074"/>
    <mergeCell ref="FUF131074:FUK131074"/>
    <mergeCell ref="GEB131074:GEG131074"/>
    <mergeCell ref="GNX131074:GOC131074"/>
    <mergeCell ref="GXT131074:GXY131074"/>
    <mergeCell ref="HHP131074:HHU131074"/>
    <mergeCell ref="HRL131074:HRQ131074"/>
    <mergeCell ref="IBH131074:IBM131074"/>
    <mergeCell ref="ILD131074:ILI131074"/>
    <mergeCell ref="IUZ131074:IVE131074"/>
    <mergeCell ref="JEV131074:JFA131074"/>
    <mergeCell ref="JOR131074:JOW131074"/>
    <mergeCell ref="JYN131074:JYS131074"/>
    <mergeCell ref="KIJ131074:KIO131074"/>
    <mergeCell ref="KSF131074:KSK131074"/>
    <mergeCell ref="LCB131074:LCG131074"/>
    <mergeCell ref="LLX131074:LMC131074"/>
    <mergeCell ref="LVT131074:LVY131074"/>
    <mergeCell ref="MFP131074:MFU131074"/>
    <mergeCell ref="MPL131074:MPQ131074"/>
    <mergeCell ref="MZH131074:MZM131074"/>
    <mergeCell ref="NJD131074:NJI131074"/>
    <mergeCell ref="NSZ131074:NTE131074"/>
    <mergeCell ref="OCV131074:ODA131074"/>
    <mergeCell ref="OMR131074:OMW131074"/>
    <mergeCell ref="OWN131074:OWS131074"/>
    <mergeCell ref="PGJ131074:PGO131074"/>
    <mergeCell ref="PQF131074:PQK131074"/>
    <mergeCell ref="QAB131074:QAG131074"/>
    <mergeCell ref="QJX131074:QKC131074"/>
    <mergeCell ref="QTT131074:QTY131074"/>
    <mergeCell ref="RDP131074:RDU131074"/>
    <mergeCell ref="RNL131074:RNQ131074"/>
    <mergeCell ref="RXH131074:RXM131074"/>
    <mergeCell ref="SHD131074:SHI131074"/>
    <mergeCell ref="SQZ131074:SRE131074"/>
    <mergeCell ref="TAV131074:TBA131074"/>
    <mergeCell ref="TKR131074:TKW131074"/>
    <mergeCell ref="TUN131074:TUS131074"/>
    <mergeCell ref="UEJ131074:UEO131074"/>
    <mergeCell ref="UOF131074:UOK131074"/>
    <mergeCell ref="UYB131074:UYG131074"/>
    <mergeCell ref="VHX131074:VIC131074"/>
    <mergeCell ref="VRT131074:VRY131074"/>
    <mergeCell ref="WBP131074:WBU131074"/>
    <mergeCell ref="WLL131074:WLQ131074"/>
    <mergeCell ref="WVH131074:WVM131074"/>
    <mergeCell ref="A196610:E196610"/>
    <mergeCell ref="IV196610:JA196610"/>
    <mergeCell ref="SR196610:SW196610"/>
    <mergeCell ref="ACN196610:ACS196610"/>
    <mergeCell ref="AMJ196610:AMO196610"/>
    <mergeCell ref="AWF196610:AWK196610"/>
    <mergeCell ref="BGB196610:BGG196610"/>
    <mergeCell ref="BPX196610:BQC196610"/>
    <mergeCell ref="BZT196610:BZY196610"/>
    <mergeCell ref="CJP196610:CJU196610"/>
    <mergeCell ref="CTL196610:CTQ196610"/>
    <mergeCell ref="DDH196610:DDM196610"/>
    <mergeCell ref="DND196610:DNI196610"/>
    <mergeCell ref="DWZ196610:DXE196610"/>
    <mergeCell ref="EGV196610:EHA196610"/>
    <mergeCell ref="EQR196610:EQW196610"/>
    <mergeCell ref="FAN196610:FAS196610"/>
    <mergeCell ref="FKJ196610:FKO196610"/>
    <mergeCell ref="FUF196610:FUK196610"/>
    <mergeCell ref="GEB196610:GEG196610"/>
    <mergeCell ref="GNX196610:GOC196610"/>
    <mergeCell ref="GXT196610:GXY196610"/>
    <mergeCell ref="HHP196610:HHU196610"/>
    <mergeCell ref="HRL196610:HRQ196610"/>
    <mergeCell ref="IBH196610:IBM196610"/>
    <mergeCell ref="ILD196610:ILI196610"/>
    <mergeCell ref="IUZ196610:IVE196610"/>
    <mergeCell ref="JEV196610:JFA196610"/>
    <mergeCell ref="JOR196610:JOW196610"/>
    <mergeCell ref="JYN196610:JYS196610"/>
    <mergeCell ref="KIJ196610:KIO196610"/>
    <mergeCell ref="KSF196610:KSK196610"/>
    <mergeCell ref="LCB196610:LCG196610"/>
    <mergeCell ref="LLX196610:LMC196610"/>
    <mergeCell ref="LVT196610:LVY196610"/>
    <mergeCell ref="MFP196610:MFU196610"/>
    <mergeCell ref="MPL196610:MPQ196610"/>
    <mergeCell ref="MZH196610:MZM196610"/>
    <mergeCell ref="NJD196610:NJI196610"/>
    <mergeCell ref="NSZ196610:NTE196610"/>
    <mergeCell ref="OCV196610:ODA196610"/>
    <mergeCell ref="OMR196610:OMW196610"/>
    <mergeCell ref="OWN196610:OWS196610"/>
    <mergeCell ref="PGJ196610:PGO196610"/>
    <mergeCell ref="PQF196610:PQK196610"/>
    <mergeCell ref="QAB196610:QAG196610"/>
    <mergeCell ref="QJX196610:QKC196610"/>
    <mergeCell ref="QTT196610:QTY196610"/>
    <mergeCell ref="RDP196610:RDU196610"/>
    <mergeCell ref="RNL196610:RNQ196610"/>
    <mergeCell ref="RXH196610:RXM196610"/>
    <mergeCell ref="SHD196610:SHI196610"/>
    <mergeCell ref="SQZ196610:SRE196610"/>
    <mergeCell ref="TAV196610:TBA196610"/>
    <mergeCell ref="TKR196610:TKW196610"/>
    <mergeCell ref="TUN196610:TUS196610"/>
    <mergeCell ref="UEJ196610:UEO196610"/>
    <mergeCell ref="UOF196610:UOK196610"/>
    <mergeCell ref="UYB196610:UYG196610"/>
    <mergeCell ref="VHX196610:VIC196610"/>
    <mergeCell ref="VRT196610:VRY196610"/>
    <mergeCell ref="WBP196610:WBU196610"/>
    <mergeCell ref="WLL196610:WLQ196610"/>
    <mergeCell ref="WVH196610:WVM196610"/>
    <mergeCell ref="A262146:E262146"/>
    <mergeCell ref="IV262146:JA262146"/>
    <mergeCell ref="SR262146:SW262146"/>
    <mergeCell ref="ACN262146:ACS262146"/>
    <mergeCell ref="AMJ262146:AMO262146"/>
    <mergeCell ref="AWF262146:AWK262146"/>
    <mergeCell ref="BGB262146:BGG262146"/>
    <mergeCell ref="BPX262146:BQC262146"/>
    <mergeCell ref="BZT262146:BZY262146"/>
    <mergeCell ref="CJP262146:CJU262146"/>
    <mergeCell ref="CTL262146:CTQ262146"/>
    <mergeCell ref="DDH262146:DDM262146"/>
    <mergeCell ref="DND262146:DNI262146"/>
    <mergeCell ref="DWZ262146:DXE262146"/>
    <mergeCell ref="EGV262146:EHA262146"/>
    <mergeCell ref="EQR262146:EQW262146"/>
    <mergeCell ref="FAN262146:FAS262146"/>
    <mergeCell ref="FKJ262146:FKO262146"/>
    <mergeCell ref="FUF262146:FUK262146"/>
    <mergeCell ref="GEB262146:GEG262146"/>
    <mergeCell ref="GNX262146:GOC262146"/>
    <mergeCell ref="GXT262146:GXY262146"/>
    <mergeCell ref="HHP262146:HHU262146"/>
    <mergeCell ref="HRL262146:HRQ262146"/>
    <mergeCell ref="IBH262146:IBM262146"/>
    <mergeCell ref="ILD262146:ILI262146"/>
    <mergeCell ref="IUZ262146:IVE262146"/>
    <mergeCell ref="JEV262146:JFA262146"/>
    <mergeCell ref="JOR262146:JOW262146"/>
    <mergeCell ref="JYN262146:JYS262146"/>
    <mergeCell ref="KIJ262146:KIO262146"/>
    <mergeCell ref="KSF262146:KSK262146"/>
    <mergeCell ref="LCB262146:LCG262146"/>
    <mergeCell ref="LLX262146:LMC262146"/>
    <mergeCell ref="LVT262146:LVY262146"/>
    <mergeCell ref="MFP262146:MFU262146"/>
    <mergeCell ref="MPL262146:MPQ262146"/>
    <mergeCell ref="MZH262146:MZM262146"/>
    <mergeCell ref="NJD262146:NJI262146"/>
    <mergeCell ref="NSZ262146:NTE262146"/>
    <mergeCell ref="OCV262146:ODA262146"/>
    <mergeCell ref="OMR262146:OMW262146"/>
    <mergeCell ref="OWN262146:OWS262146"/>
    <mergeCell ref="PGJ262146:PGO262146"/>
    <mergeCell ref="PQF262146:PQK262146"/>
    <mergeCell ref="QAB262146:QAG262146"/>
    <mergeCell ref="QJX262146:QKC262146"/>
    <mergeCell ref="QTT262146:QTY262146"/>
    <mergeCell ref="RDP262146:RDU262146"/>
    <mergeCell ref="RNL262146:RNQ262146"/>
    <mergeCell ref="RXH262146:RXM262146"/>
    <mergeCell ref="SHD262146:SHI262146"/>
    <mergeCell ref="SQZ262146:SRE262146"/>
    <mergeCell ref="TAV262146:TBA262146"/>
    <mergeCell ref="TKR262146:TKW262146"/>
    <mergeCell ref="TUN262146:TUS262146"/>
    <mergeCell ref="UEJ262146:UEO262146"/>
    <mergeCell ref="UOF262146:UOK262146"/>
    <mergeCell ref="UYB262146:UYG262146"/>
    <mergeCell ref="VHX262146:VIC262146"/>
    <mergeCell ref="VRT262146:VRY262146"/>
    <mergeCell ref="WBP262146:WBU262146"/>
    <mergeCell ref="WLL262146:WLQ262146"/>
    <mergeCell ref="WVH262146:WVM262146"/>
    <mergeCell ref="A327682:E327682"/>
    <mergeCell ref="IV327682:JA327682"/>
    <mergeCell ref="SR327682:SW327682"/>
    <mergeCell ref="ACN327682:ACS327682"/>
    <mergeCell ref="AMJ327682:AMO327682"/>
    <mergeCell ref="AWF327682:AWK327682"/>
    <mergeCell ref="BGB327682:BGG327682"/>
    <mergeCell ref="BPX327682:BQC327682"/>
    <mergeCell ref="BZT327682:BZY327682"/>
    <mergeCell ref="CJP327682:CJU327682"/>
    <mergeCell ref="CTL327682:CTQ327682"/>
    <mergeCell ref="DDH327682:DDM327682"/>
    <mergeCell ref="DND327682:DNI327682"/>
    <mergeCell ref="DWZ327682:DXE327682"/>
    <mergeCell ref="EGV327682:EHA327682"/>
    <mergeCell ref="EQR327682:EQW327682"/>
    <mergeCell ref="FAN327682:FAS327682"/>
    <mergeCell ref="FKJ327682:FKO327682"/>
    <mergeCell ref="FUF327682:FUK327682"/>
    <mergeCell ref="GEB327682:GEG327682"/>
    <mergeCell ref="GNX327682:GOC327682"/>
    <mergeCell ref="GXT327682:GXY327682"/>
    <mergeCell ref="HHP327682:HHU327682"/>
    <mergeCell ref="HRL327682:HRQ327682"/>
    <mergeCell ref="IBH327682:IBM327682"/>
    <mergeCell ref="ILD327682:ILI327682"/>
    <mergeCell ref="IUZ327682:IVE327682"/>
    <mergeCell ref="JEV327682:JFA327682"/>
    <mergeCell ref="JOR327682:JOW327682"/>
    <mergeCell ref="JYN327682:JYS327682"/>
    <mergeCell ref="KIJ327682:KIO327682"/>
    <mergeCell ref="KSF327682:KSK327682"/>
    <mergeCell ref="LCB327682:LCG327682"/>
    <mergeCell ref="LLX327682:LMC327682"/>
    <mergeCell ref="LVT327682:LVY327682"/>
    <mergeCell ref="MFP327682:MFU327682"/>
    <mergeCell ref="MPL327682:MPQ327682"/>
    <mergeCell ref="MZH327682:MZM327682"/>
    <mergeCell ref="NJD327682:NJI327682"/>
    <mergeCell ref="NSZ327682:NTE327682"/>
    <mergeCell ref="OCV327682:ODA327682"/>
    <mergeCell ref="OMR327682:OMW327682"/>
    <mergeCell ref="OWN327682:OWS327682"/>
    <mergeCell ref="PGJ327682:PGO327682"/>
    <mergeCell ref="PQF327682:PQK327682"/>
    <mergeCell ref="QAB327682:QAG327682"/>
    <mergeCell ref="QJX327682:QKC327682"/>
    <mergeCell ref="QTT327682:QTY327682"/>
    <mergeCell ref="RDP327682:RDU327682"/>
    <mergeCell ref="RNL327682:RNQ327682"/>
    <mergeCell ref="RXH327682:RXM327682"/>
    <mergeCell ref="SHD327682:SHI327682"/>
    <mergeCell ref="SQZ327682:SRE327682"/>
    <mergeCell ref="TAV327682:TBA327682"/>
    <mergeCell ref="TKR327682:TKW327682"/>
    <mergeCell ref="TUN327682:TUS327682"/>
    <mergeCell ref="UEJ327682:UEO327682"/>
    <mergeCell ref="UOF327682:UOK327682"/>
    <mergeCell ref="UYB327682:UYG327682"/>
    <mergeCell ref="VHX327682:VIC327682"/>
    <mergeCell ref="VRT327682:VRY327682"/>
    <mergeCell ref="WBP327682:WBU327682"/>
    <mergeCell ref="WLL327682:WLQ327682"/>
    <mergeCell ref="WVH327682:WVM327682"/>
    <mergeCell ref="A393218:E393218"/>
    <mergeCell ref="IV393218:JA393218"/>
    <mergeCell ref="SR393218:SW393218"/>
    <mergeCell ref="ACN393218:ACS393218"/>
    <mergeCell ref="AMJ393218:AMO393218"/>
    <mergeCell ref="AWF393218:AWK393218"/>
    <mergeCell ref="BGB393218:BGG393218"/>
    <mergeCell ref="BPX393218:BQC393218"/>
    <mergeCell ref="BZT393218:BZY393218"/>
    <mergeCell ref="CJP393218:CJU393218"/>
    <mergeCell ref="CTL393218:CTQ393218"/>
    <mergeCell ref="DDH393218:DDM393218"/>
    <mergeCell ref="DND393218:DNI393218"/>
    <mergeCell ref="DWZ393218:DXE393218"/>
    <mergeCell ref="EGV393218:EHA393218"/>
    <mergeCell ref="EQR393218:EQW393218"/>
    <mergeCell ref="FAN393218:FAS393218"/>
    <mergeCell ref="FKJ393218:FKO393218"/>
    <mergeCell ref="FUF393218:FUK393218"/>
    <mergeCell ref="GEB393218:GEG393218"/>
    <mergeCell ref="GNX393218:GOC393218"/>
    <mergeCell ref="GXT393218:GXY393218"/>
    <mergeCell ref="HHP393218:HHU393218"/>
    <mergeCell ref="HRL393218:HRQ393218"/>
    <mergeCell ref="IBH393218:IBM393218"/>
    <mergeCell ref="ILD393218:ILI393218"/>
    <mergeCell ref="IUZ393218:IVE393218"/>
    <mergeCell ref="JEV393218:JFA393218"/>
    <mergeCell ref="JOR393218:JOW393218"/>
    <mergeCell ref="JYN393218:JYS393218"/>
    <mergeCell ref="KIJ393218:KIO393218"/>
    <mergeCell ref="KSF393218:KSK393218"/>
    <mergeCell ref="LCB393218:LCG393218"/>
    <mergeCell ref="LLX393218:LMC393218"/>
    <mergeCell ref="LVT393218:LVY393218"/>
    <mergeCell ref="MFP393218:MFU393218"/>
    <mergeCell ref="MPL393218:MPQ393218"/>
    <mergeCell ref="MZH393218:MZM393218"/>
    <mergeCell ref="NJD393218:NJI393218"/>
    <mergeCell ref="NSZ393218:NTE393218"/>
    <mergeCell ref="OCV393218:ODA393218"/>
    <mergeCell ref="OMR393218:OMW393218"/>
    <mergeCell ref="OWN393218:OWS393218"/>
    <mergeCell ref="PGJ393218:PGO393218"/>
    <mergeCell ref="PQF393218:PQK393218"/>
    <mergeCell ref="QAB393218:QAG393218"/>
    <mergeCell ref="QJX393218:QKC393218"/>
    <mergeCell ref="QTT393218:QTY393218"/>
    <mergeCell ref="RDP393218:RDU393218"/>
    <mergeCell ref="RNL393218:RNQ393218"/>
    <mergeCell ref="RXH393218:RXM393218"/>
    <mergeCell ref="SHD393218:SHI393218"/>
    <mergeCell ref="SQZ393218:SRE393218"/>
    <mergeCell ref="TAV393218:TBA393218"/>
    <mergeCell ref="TKR393218:TKW393218"/>
    <mergeCell ref="TUN393218:TUS393218"/>
    <mergeCell ref="UEJ393218:UEO393218"/>
    <mergeCell ref="UOF393218:UOK393218"/>
    <mergeCell ref="UYB393218:UYG393218"/>
    <mergeCell ref="VHX393218:VIC393218"/>
    <mergeCell ref="VRT393218:VRY393218"/>
    <mergeCell ref="WBP393218:WBU393218"/>
    <mergeCell ref="WLL393218:WLQ393218"/>
    <mergeCell ref="WVH393218:WVM393218"/>
    <mergeCell ref="A458754:E458754"/>
    <mergeCell ref="IV458754:JA458754"/>
    <mergeCell ref="SR458754:SW458754"/>
    <mergeCell ref="ACN458754:ACS458754"/>
    <mergeCell ref="AMJ458754:AMO458754"/>
    <mergeCell ref="AWF458754:AWK458754"/>
    <mergeCell ref="BGB458754:BGG458754"/>
    <mergeCell ref="BPX458754:BQC458754"/>
    <mergeCell ref="BZT458754:BZY458754"/>
    <mergeCell ref="CJP458754:CJU458754"/>
    <mergeCell ref="CTL458754:CTQ458754"/>
    <mergeCell ref="DDH458754:DDM458754"/>
    <mergeCell ref="DND458754:DNI458754"/>
    <mergeCell ref="DWZ458754:DXE458754"/>
    <mergeCell ref="EGV458754:EHA458754"/>
    <mergeCell ref="EQR458754:EQW458754"/>
    <mergeCell ref="FAN458754:FAS458754"/>
    <mergeCell ref="FKJ458754:FKO458754"/>
    <mergeCell ref="FUF458754:FUK458754"/>
    <mergeCell ref="GEB458754:GEG458754"/>
    <mergeCell ref="GNX458754:GOC458754"/>
    <mergeCell ref="GXT458754:GXY458754"/>
    <mergeCell ref="HHP458754:HHU458754"/>
    <mergeCell ref="HRL458754:HRQ458754"/>
    <mergeCell ref="IBH458754:IBM458754"/>
    <mergeCell ref="ILD458754:ILI458754"/>
    <mergeCell ref="IUZ458754:IVE458754"/>
    <mergeCell ref="JEV458754:JFA458754"/>
    <mergeCell ref="JOR458754:JOW458754"/>
    <mergeCell ref="JYN458754:JYS458754"/>
    <mergeCell ref="KIJ458754:KIO458754"/>
    <mergeCell ref="KSF458754:KSK458754"/>
    <mergeCell ref="LCB458754:LCG458754"/>
    <mergeCell ref="LLX458754:LMC458754"/>
    <mergeCell ref="LVT458754:LVY458754"/>
    <mergeCell ref="MFP458754:MFU458754"/>
    <mergeCell ref="MPL458754:MPQ458754"/>
    <mergeCell ref="MZH458754:MZM458754"/>
    <mergeCell ref="NJD458754:NJI458754"/>
    <mergeCell ref="NSZ458754:NTE458754"/>
    <mergeCell ref="OCV458754:ODA458754"/>
    <mergeCell ref="OMR458754:OMW458754"/>
    <mergeCell ref="OWN458754:OWS458754"/>
    <mergeCell ref="PGJ458754:PGO458754"/>
    <mergeCell ref="PQF458754:PQK458754"/>
    <mergeCell ref="QAB458754:QAG458754"/>
    <mergeCell ref="QJX458754:QKC458754"/>
    <mergeCell ref="QTT458754:QTY458754"/>
    <mergeCell ref="RDP458754:RDU458754"/>
    <mergeCell ref="RNL458754:RNQ458754"/>
    <mergeCell ref="RXH458754:RXM458754"/>
    <mergeCell ref="SHD458754:SHI458754"/>
    <mergeCell ref="SQZ458754:SRE458754"/>
    <mergeCell ref="TAV458754:TBA458754"/>
    <mergeCell ref="TKR458754:TKW458754"/>
    <mergeCell ref="TUN458754:TUS458754"/>
    <mergeCell ref="UEJ458754:UEO458754"/>
    <mergeCell ref="UOF458754:UOK458754"/>
    <mergeCell ref="UYB458754:UYG458754"/>
    <mergeCell ref="VHX458754:VIC458754"/>
    <mergeCell ref="VRT458754:VRY458754"/>
    <mergeCell ref="WBP458754:WBU458754"/>
    <mergeCell ref="WLL458754:WLQ458754"/>
    <mergeCell ref="WVH458754:WVM458754"/>
    <mergeCell ref="A524290:E524290"/>
    <mergeCell ref="IV524290:JA524290"/>
    <mergeCell ref="SR524290:SW524290"/>
    <mergeCell ref="ACN524290:ACS524290"/>
    <mergeCell ref="AMJ524290:AMO524290"/>
    <mergeCell ref="AWF524290:AWK524290"/>
    <mergeCell ref="BGB524290:BGG524290"/>
    <mergeCell ref="BPX524290:BQC524290"/>
    <mergeCell ref="BZT524290:BZY524290"/>
    <mergeCell ref="CJP524290:CJU524290"/>
    <mergeCell ref="CTL524290:CTQ524290"/>
    <mergeCell ref="DDH524290:DDM524290"/>
    <mergeCell ref="DND524290:DNI524290"/>
    <mergeCell ref="DWZ524290:DXE524290"/>
    <mergeCell ref="EGV524290:EHA524290"/>
    <mergeCell ref="EQR524290:EQW524290"/>
    <mergeCell ref="FAN524290:FAS524290"/>
    <mergeCell ref="FKJ524290:FKO524290"/>
    <mergeCell ref="FUF524290:FUK524290"/>
    <mergeCell ref="GEB524290:GEG524290"/>
    <mergeCell ref="GNX524290:GOC524290"/>
    <mergeCell ref="GXT524290:GXY524290"/>
    <mergeCell ref="HHP524290:HHU524290"/>
    <mergeCell ref="HRL524290:HRQ524290"/>
    <mergeCell ref="IBH524290:IBM524290"/>
    <mergeCell ref="ILD524290:ILI524290"/>
    <mergeCell ref="IUZ524290:IVE524290"/>
    <mergeCell ref="JEV524290:JFA524290"/>
    <mergeCell ref="JOR524290:JOW524290"/>
    <mergeCell ref="JYN524290:JYS524290"/>
    <mergeCell ref="KIJ524290:KIO524290"/>
    <mergeCell ref="KSF524290:KSK524290"/>
    <mergeCell ref="LCB524290:LCG524290"/>
    <mergeCell ref="LLX524290:LMC524290"/>
    <mergeCell ref="LVT524290:LVY524290"/>
    <mergeCell ref="MFP524290:MFU524290"/>
    <mergeCell ref="MPL524290:MPQ524290"/>
    <mergeCell ref="MZH524290:MZM524290"/>
    <mergeCell ref="NJD524290:NJI524290"/>
    <mergeCell ref="NSZ524290:NTE524290"/>
    <mergeCell ref="OCV524290:ODA524290"/>
    <mergeCell ref="OMR524290:OMW524290"/>
    <mergeCell ref="OWN524290:OWS524290"/>
    <mergeCell ref="PGJ524290:PGO524290"/>
    <mergeCell ref="PQF524290:PQK524290"/>
    <mergeCell ref="QAB524290:QAG524290"/>
    <mergeCell ref="QJX524290:QKC524290"/>
    <mergeCell ref="QTT524290:QTY524290"/>
    <mergeCell ref="RDP524290:RDU524290"/>
    <mergeCell ref="RNL524290:RNQ524290"/>
    <mergeCell ref="RXH524290:RXM524290"/>
    <mergeCell ref="SHD524290:SHI524290"/>
    <mergeCell ref="SQZ524290:SRE524290"/>
    <mergeCell ref="TAV524290:TBA524290"/>
    <mergeCell ref="TKR524290:TKW524290"/>
    <mergeCell ref="TUN524290:TUS524290"/>
    <mergeCell ref="UEJ524290:UEO524290"/>
    <mergeCell ref="UOF524290:UOK524290"/>
    <mergeCell ref="UYB524290:UYG524290"/>
    <mergeCell ref="VHX524290:VIC524290"/>
    <mergeCell ref="VRT524290:VRY524290"/>
    <mergeCell ref="WBP524290:WBU524290"/>
    <mergeCell ref="WLL524290:WLQ524290"/>
    <mergeCell ref="WVH524290:WVM524290"/>
    <mergeCell ref="A589826:E589826"/>
    <mergeCell ref="IV589826:JA589826"/>
    <mergeCell ref="SR589826:SW589826"/>
    <mergeCell ref="ACN589826:ACS589826"/>
    <mergeCell ref="AMJ589826:AMO589826"/>
    <mergeCell ref="AWF589826:AWK589826"/>
    <mergeCell ref="BGB589826:BGG589826"/>
    <mergeCell ref="BPX589826:BQC589826"/>
    <mergeCell ref="BZT589826:BZY589826"/>
    <mergeCell ref="CJP589826:CJU589826"/>
    <mergeCell ref="CTL589826:CTQ589826"/>
    <mergeCell ref="DDH589826:DDM589826"/>
    <mergeCell ref="DND589826:DNI589826"/>
    <mergeCell ref="DWZ589826:DXE589826"/>
    <mergeCell ref="EGV589826:EHA589826"/>
    <mergeCell ref="EQR589826:EQW589826"/>
    <mergeCell ref="FAN589826:FAS589826"/>
    <mergeCell ref="FKJ589826:FKO589826"/>
    <mergeCell ref="FUF589826:FUK589826"/>
    <mergeCell ref="GEB589826:GEG589826"/>
    <mergeCell ref="GNX589826:GOC589826"/>
    <mergeCell ref="GXT589826:GXY589826"/>
    <mergeCell ref="HHP589826:HHU589826"/>
    <mergeCell ref="HRL589826:HRQ589826"/>
    <mergeCell ref="IBH589826:IBM589826"/>
    <mergeCell ref="ILD589826:ILI589826"/>
    <mergeCell ref="IUZ589826:IVE589826"/>
    <mergeCell ref="JEV589826:JFA589826"/>
    <mergeCell ref="JOR589826:JOW589826"/>
    <mergeCell ref="JYN589826:JYS589826"/>
    <mergeCell ref="KIJ589826:KIO589826"/>
    <mergeCell ref="KSF589826:KSK589826"/>
    <mergeCell ref="LCB589826:LCG589826"/>
    <mergeCell ref="LLX589826:LMC589826"/>
    <mergeCell ref="LVT589826:LVY589826"/>
    <mergeCell ref="MFP589826:MFU589826"/>
    <mergeCell ref="MPL589826:MPQ589826"/>
    <mergeCell ref="MZH589826:MZM589826"/>
    <mergeCell ref="NJD589826:NJI589826"/>
    <mergeCell ref="NSZ589826:NTE589826"/>
    <mergeCell ref="OCV589826:ODA589826"/>
    <mergeCell ref="OMR589826:OMW589826"/>
    <mergeCell ref="OWN589826:OWS589826"/>
    <mergeCell ref="PGJ589826:PGO589826"/>
    <mergeCell ref="PQF589826:PQK589826"/>
    <mergeCell ref="QAB589826:QAG589826"/>
    <mergeCell ref="QJX589826:QKC589826"/>
    <mergeCell ref="QTT589826:QTY589826"/>
    <mergeCell ref="RDP589826:RDU589826"/>
    <mergeCell ref="RNL589826:RNQ589826"/>
    <mergeCell ref="RXH589826:RXM589826"/>
    <mergeCell ref="SHD589826:SHI589826"/>
    <mergeCell ref="SQZ589826:SRE589826"/>
    <mergeCell ref="TAV589826:TBA589826"/>
    <mergeCell ref="TKR589826:TKW589826"/>
    <mergeCell ref="TUN589826:TUS589826"/>
    <mergeCell ref="UEJ589826:UEO589826"/>
    <mergeCell ref="UOF589826:UOK589826"/>
    <mergeCell ref="UYB589826:UYG589826"/>
    <mergeCell ref="VHX589826:VIC589826"/>
    <mergeCell ref="VRT589826:VRY589826"/>
    <mergeCell ref="WBP589826:WBU589826"/>
    <mergeCell ref="WLL589826:WLQ589826"/>
    <mergeCell ref="WVH589826:WVM589826"/>
    <mergeCell ref="A655362:E655362"/>
    <mergeCell ref="IV655362:JA655362"/>
    <mergeCell ref="SR655362:SW655362"/>
    <mergeCell ref="ACN655362:ACS655362"/>
    <mergeCell ref="AMJ655362:AMO655362"/>
    <mergeCell ref="AWF655362:AWK655362"/>
    <mergeCell ref="BGB655362:BGG655362"/>
    <mergeCell ref="BPX655362:BQC655362"/>
    <mergeCell ref="BZT655362:BZY655362"/>
    <mergeCell ref="CJP655362:CJU655362"/>
    <mergeCell ref="CTL655362:CTQ655362"/>
    <mergeCell ref="DDH655362:DDM655362"/>
    <mergeCell ref="DND655362:DNI655362"/>
    <mergeCell ref="DWZ655362:DXE655362"/>
    <mergeCell ref="EGV655362:EHA655362"/>
    <mergeCell ref="EQR655362:EQW655362"/>
    <mergeCell ref="FAN655362:FAS655362"/>
    <mergeCell ref="FKJ655362:FKO655362"/>
    <mergeCell ref="FUF655362:FUK655362"/>
    <mergeCell ref="GEB655362:GEG655362"/>
    <mergeCell ref="GNX655362:GOC655362"/>
    <mergeCell ref="GXT655362:GXY655362"/>
    <mergeCell ref="HHP655362:HHU655362"/>
    <mergeCell ref="HRL655362:HRQ655362"/>
    <mergeCell ref="IBH655362:IBM655362"/>
    <mergeCell ref="ILD655362:ILI655362"/>
    <mergeCell ref="IUZ655362:IVE655362"/>
    <mergeCell ref="JEV655362:JFA655362"/>
    <mergeCell ref="JOR655362:JOW655362"/>
    <mergeCell ref="JYN655362:JYS655362"/>
    <mergeCell ref="KIJ655362:KIO655362"/>
    <mergeCell ref="KSF655362:KSK655362"/>
    <mergeCell ref="LCB655362:LCG655362"/>
    <mergeCell ref="LLX655362:LMC655362"/>
    <mergeCell ref="LVT655362:LVY655362"/>
    <mergeCell ref="MFP655362:MFU655362"/>
    <mergeCell ref="MPL655362:MPQ655362"/>
    <mergeCell ref="MZH655362:MZM655362"/>
    <mergeCell ref="NJD655362:NJI655362"/>
    <mergeCell ref="NSZ655362:NTE655362"/>
    <mergeCell ref="OCV655362:ODA655362"/>
    <mergeCell ref="OMR655362:OMW655362"/>
    <mergeCell ref="OWN655362:OWS655362"/>
    <mergeCell ref="PGJ655362:PGO655362"/>
    <mergeCell ref="PQF655362:PQK655362"/>
    <mergeCell ref="QAB655362:QAG655362"/>
    <mergeCell ref="QJX655362:QKC655362"/>
    <mergeCell ref="QTT655362:QTY655362"/>
    <mergeCell ref="RDP655362:RDU655362"/>
    <mergeCell ref="RNL655362:RNQ655362"/>
    <mergeCell ref="RXH655362:RXM655362"/>
    <mergeCell ref="SHD655362:SHI655362"/>
    <mergeCell ref="SQZ655362:SRE655362"/>
    <mergeCell ref="TAV655362:TBA655362"/>
    <mergeCell ref="TKR655362:TKW655362"/>
    <mergeCell ref="TUN655362:TUS655362"/>
    <mergeCell ref="UEJ655362:UEO655362"/>
    <mergeCell ref="UOF655362:UOK655362"/>
    <mergeCell ref="UYB655362:UYG655362"/>
    <mergeCell ref="VHX655362:VIC655362"/>
    <mergeCell ref="VRT655362:VRY655362"/>
    <mergeCell ref="WBP655362:WBU655362"/>
    <mergeCell ref="WLL655362:WLQ655362"/>
    <mergeCell ref="WVH655362:WVM655362"/>
    <mergeCell ref="A720898:E720898"/>
    <mergeCell ref="IV720898:JA720898"/>
    <mergeCell ref="SR720898:SW720898"/>
    <mergeCell ref="ACN720898:ACS720898"/>
    <mergeCell ref="AMJ720898:AMO720898"/>
    <mergeCell ref="AWF720898:AWK720898"/>
    <mergeCell ref="BGB720898:BGG720898"/>
    <mergeCell ref="BPX720898:BQC720898"/>
    <mergeCell ref="BZT720898:BZY720898"/>
    <mergeCell ref="CJP720898:CJU720898"/>
    <mergeCell ref="CTL720898:CTQ720898"/>
    <mergeCell ref="DDH720898:DDM720898"/>
    <mergeCell ref="DND720898:DNI720898"/>
    <mergeCell ref="DWZ720898:DXE720898"/>
    <mergeCell ref="EGV720898:EHA720898"/>
    <mergeCell ref="EQR720898:EQW720898"/>
    <mergeCell ref="FAN720898:FAS720898"/>
    <mergeCell ref="FKJ720898:FKO720898"/>
    <mergeCell ref="FUF720898:FUK720898"/>
    <mergeCell ref="GEB720898:GEG720898"/>
    <mergeCell ref="GNX720898:GOC720898"/>
    <mergeCell ref="GXT720898:GXY720898"/>
    <mergeCell ref="HHP720898:HHU720898"/>
    <mergeCell ref="HRL720898:HRQ720898"/>
    <mergeCell ref="IBH720898:IBM720898"/>
    <mergeCell ref="ILD720898:ILI720898"/>
    <mergeCell ref="IUZ720898:IVE720898"/>
    <mergeCell ref="JEV720898:JFA720898"/>
    <mergeCell ref="JOR720898:JOW720898"/>
    <mergeCell ref="JYN720898:JYS720898"/>
    <mergeCell ref="KIJ720898:KIO720898"/>
    <mergeCell ref="KSF720898:KSK720898"/>
    <mergeCell ref="LCB720898:LCG720898"/>
    <mergeCell ref="LLX720898:LMC720898"/>
    <mergeCell ref="LVT720898:LVY720898"/>
    <mergeCell ref="MFP720898:MFU720898"/>
    <mergeCell ref="MPL720898:MPQ720898"/>
    <mergeCell ref="MZH720898:MZM720898"/>
    <mergeCell ref="NJD720898:NJI720898"/>
    <mergeCell ref="NSZ720898:NTE720898"/>
    <mergeCell ref="OCV720898:ODA720898"/>
    <mergeCell ref="OMR720898:OMW720898"/>
    <mergeCell ref="OWN720898:OWS720898"/>
    <mergeCell ref="PGJ720898:PGO720898"/>
    <mergeCell ref="PQF720898:PQK720898"/>
    <mergeCell ref="QAB720898:QAG720898"/>
    <mergeCell ref="QJX720898:QKC720898"/>
    <mergeCell ref="QTT720898:QTY720898"/>
    <mergeCell ref="RDP720898:RDU720898"/>
    <mergeCell ref="RNL720898:RNQ720898"/>
    <mergeCell ref="RXH720898:RXM720898"/>
    <mergeCell ref="SHD720898:SHI720898"/>
    <mergeCell ref="SQZ720898:SRE720898"/>
    <mergeCell ref="TAV720898:TBA720898"/>
    <mergeCell ref="TKR720898:TKW720898"/>
    <mergeCell ref="TUN720898:TUS720898"/>
    <mergeCell ref="UEJ720898:UEO720898"/>
    <mergeCell ref="UOF720898:UOK720898"/>
    <mergeCell ref="UYB720898:UYG720898"/>
    <mergeCell ref="VHX720898:VIC720898"/>
    <mergeCell ref="VRT720898:VRY720898"/>
    <mergeCell ref="WBP720898:WBU720898"/>
    <mergeCell ref="WLL720898:WLQ720898"/>
    <mergeCell ref="WVH720898:WVM720898"/>
    <mergeCell ref="A786434:E786434"/>
    <mergeCell ref="IV786434:JA786434"/>
    <mergeCell ref="SR786434:SW786434"/>
    <mergeCell ref="ACN786434:ACS786434"/>
    <mergeCell ref="AMJ786434:AMO786434"/>
    <mergeCell ref="AWF786434:AWK786434"/>
    <mergeCell ref="BGB786434:BGG786434"/>
    <mergeCell ref="BPX786434:BQC786434"/>
    <mergeCell ref="BZT786434:BZY786434"/>
    <mergeCell ref="CJP786434:CJU786434"/>
    <mergeCell ref="CTL786434:CTQ786434"/>
    <mergeCell ref="DDH786434:DDM786434"/>
    <mergeCell ref="DND786434:DNI786434"/>
    <mergeCell ref="DWZ786434:DXE786434"/>
    <mergeCell ref="EGV786434:EHA786434"/>
    <mergeCell ref="EQR786434:EQW786434"/>
    <mergeCell ref="FAN786434:FAS786434"/>
    <mergeCell ref="FKJ786434:FKO786434"/>
    <mergeCell ref="FUF786434:FUK786434"/>
    <mergeCell ref="GEB786434:GEG786434"/>
    <mergeCell ref="GNX786434:GOC786434"/>
    <mergeCell ref="GXT786434:GXY786434"/>
    <mergeCell ref="HHP786434:HHU786434"/>
    <mergeCell ref="HRL786434:HRQ786434"/>
    <mergeCell ref="IBH786434:IBM786434"/>
    <mergeCell ref="ILD786434:ILI786434"/>
    <mergeCell ref="IUZ786434:IVE786434"/>
    <mergeCell ref="JEV786434:JFA786434"/>
    <mergeCell ref="JOR786434:JOW786434"/>
    <mergeCell ref="JYN786434:JYS786434"/>
    <mergeCell ref="KIJ786434:KIO786434"/>
    <mergeCell ref="KSF786434:KSK786434"/>
    <mergeCell ref="LCB786434:LCG786434"/>
    <mergeCell ref="LLX786434:LMC786434"/>
    <mergeCell ref="LVT786434:LVY786434"/>
    <mergeCell ref="MFP786434:MFU786434"/>
    <mergeCell ref="MPL786434:MPQ786434"/>
    <mergeCell ref="MZH786434:MZM786434"/>
    <mergeCell ref="NJD786434:NJI786434"/>
    <mergeCell ref="NSZ786434:NTE786434"/>
    <mergeCell ref="OCV786434:ODA786434"/>
    <mergeCell ref="OMR786434:OMW786434"/>
    <mergeCell ref="OWN786434:OWS786434"/>
    <mergeCell ref="PGJ786434:PGO786434"/>
    <mergeCell ref="PQF786434:PQK786434"/>
    <mergeCell ref="QAB786434:QAG786434"/>
    <mergeCell ref="QJX786434:QKC786434"/>
    <mergeCell ref="QTT786434:QTY786434"/>
    <mergeCell ref="RDP786434:RDU786434"/>
    <mergeCell ref="RNL786434:RNQ786434"/>
    <mergeCell ref="RXH786434:RXM786434"/>
    <mergeCell ref="SHD786434:SHI786434"/>
    <mergeCell ref="SQZ786434:SRE786434"/>
    <mergeCell ref="TAV786434:TBA786434"/>
    <mergeCell ref="TKR786434:TKW786434"/>
    <mergeCell ref="TUN786434:TUS786434"/>
    <mergeCell ref="UEJ786434:UEO786434"/>
    <mergeCell ref="UOF786434:UOK786434"/>
    <mergeCell ref="UYB786434:UYG786434"/>
    <mergeCell ref="VHX786434:VIC786434"/>
    <mergeCell ref="VRT786434:VRY786434"/>
    <mergeCell ref="WBP786434:WBU786434"/>
    <mergeCell ref="WLL786434:WLQ786434"/>
    <mergeCell ref="WVH786434:WVM786434"/>
    <mergeCell ref="A851970:E851970"/>
    <mergeCell ref="IV851970:JA851970"/>
    <mergeCell ref="SR851970:SW851970"/>
    <mergeCell ref="ACN851970:ACS851970"/>
    <mergeCell ref="AMJ851970:AMO851970"/>
    <mergeCell ref="AWF851970:AWK851970"/>
    <mergeCell ref="BGB851970:BGG851970"/>
    <mergeCell ref="BPX851970:BQC851970"/>
    <mergeCell ref="BZT851970:BZY851970"/>
    <mergeCell ref="CJP851970:CJU851970"/>
    <mergeCell ref="CTL851970:CTQ851970"/>
    <mergeCell ref="DDH851970:DDM851970"/>
    <mergeCell ref="DND851970:DNI851970"/>
    <mergeCell ref="DWZ851970:DXE851970"/>
    <mergeCell ref="EGV851970:EHA851970"/>
    <mergeCell ref="EQR851970:EQW851970"/>
    <mergeCell ref="FAN851970:FAS851970"/>
    <mergeCell ref="FKJ851970:FKO851970"/>
    <mergeCell ref="FUF851970:FUK851970"/>
    <mergeCell ref="GEB851970:GEG851970"/>
    <mergeCell ref="GNX851970:GOC851970"/>
    <mergeCell ref="GXT851970:GXY851970"/>
    <mergeCell ref="HHP851970:HHU851970"/>
    <mergeCell ref="HRL851970:HRQ851970"/>
    <mergeCell ref="IBH851970:IBM851970"/>
    <mergeCell ref="ILD851970:ILI851970"/>
    <mergeCell ref="IUZ851970:IVE851970"/>
    <mergeCell ref="JEV851970:JFA851970"/>
    <mergeCell ref="JOR851970:JOW851970"/>
    <mergeCell ref="JYN851970:JYS851970"/>
    <mergeCell ref="KIJ851970:KIO851970"/>
    <mergeCell ref="KSF851970:KSK851970"/>
    <mergeCell ref="LCB851970:LCG851970"/>
    <mergeCell ref="LLX851970:LMC851970"/>
    <mergeCell ref="LVT851970:LVY851970"/>
    <mergeCell ref="MFP851970:MFU851970"/>
    <mergeCell ref="MPL851970:MPQ851970"/>
    <mergeCell ref="MZH851970:MZM851970"/>
    <mergeCell ref="NJD851970:NJI851970"/>
    <mergeCell ref="NSZ851970:NTE851970"/>
    <mergeCell ref="OCV851970:ODA851970"/>
    <mergeCell ref="OMR851970:OMW851970"/>
    <mergeCell ref="OWN851970:OWS851970"/>
    <mergeCell ref="PGJ851970:PGO851970"/>
    <mergeCell ref="PQF851970:PQK851970"/>
    <mergeCell ref="QAB851970:QAG851970"/>
    <mergeCell ref="QJX851970:QKC851970"/>
    <mergeCell ref="QTT851970:QTY851970"/>
    <mergeCell ref="RDP851970:RDU851970"/>
    <mergeCell ref="RNL851970:RNQ851970"/>
    <mergeCell ref="RXH851970:RXM851970"/>
    <mergeCell ref="SHD851970:SHI851970"/>
    <mergeCell ref="SQZ851970:SRE851970"/>
    <mergeCell ref="TAV851970:TBA851970"/>
    <mergeCell ref="TKR851970:TKW851970"/>
    <mergeCell ref="TUN851970:TUS851970"/>
    <mergeCell ref="UEJ851970:UEO851970"/>
    <mergeCell ref="UOF851970:UOK851970"/>
    <mergeCell ref="UYB851970:UYG851970"/>
    <mergeCell ref="VHX851970:VIC851970"/>
    <mergeCell ref="VRT851970:VRY851970"/>
    <mergeCell ref="WBP851970:WBU851970"/>
    <mergeCell ref="WLL851970:WLQ851970"/>
    <mergeCell ref="WVH851970:WVM851970"/>
    <mergeCell ref="A917506:E917506"/>
    <mergeCell ref="IV917506:JA917506"/>
    <mergeCell ref="SR917506:SW917506"/>
    <mergeCell ref="ACN917506:ACS917506"/>
    <mergeCell ref="AMJ917506:AMO917506"/>
    <mergeCell ref="AWF917506:AWK917506"/>
    <mergeCell ref="BGB917506:BGG917506"/>
    <mergeCell ref="BPX917506:BQC917506"/>
    <mergeCell ref="BZT917506:BZY917506"/>
    <mergeCell ref="CJP917506:CJU917506"/>
    <mergeCell ref="CTL917506:CTQ917506"/>
    <mergeCell ref="DDH917506:DDM917506"/>
    <mergeCell ref="DND917506:DNI917506"/>
    <mergeCell ref="DWZ917506:DXE917506"/>
    <mergeCell ref="EGV917506:EHA917506"/>
    <mergeCell ref="EQR917506:EQW917506"/>
    <mergeCell ref="FAN917506:FAS917506"/>
    <mergeCell ref="FKJ917506:FKO917506"/>
    <mergeCell ref="FUF917506:FUK917506"/>
    <mergeCell ref="GEB917506:GEG917506"/>
    <mergeCell ref="GNX917506:GOC917506"/>
    <mergeCell ref="GXT917506:GXY917506"/>
    <mergeCell ref="HHP917506:HHU917506"/>
    <mergeCell ref="HRL917506:HRQ917506"/>
    <mergeCell ref="IBH917506:IBM917506"/>
    <mergeCell ref="ILD917506:ILI917506"/>
    <mergeCell ref="IUZ917506:IVE917506"/>
    <mergeCell ref="JEV917506:JFA917506"/>
    <mergeCell ref="JOR917506:JOW917506"/>
    <mergeCell ref="JYN917506:JYS917506"/>
    <mergeCell ref="KIJ917506:KIO917506"/>
    <mergeCell ref="KSF917506:KSK917506"/>
    <mergeCell ref="LCB917506:LCG917506"/>
    <mergeCell ref="LLX917506:LMC917506"/>
    <mergeCell ref="LVT917506:LVY917506"/>
    <mergeCell ref="MFP917506:MFU917506"/>
    <mergeCell ref="MPL917506:MPQ917506"/>
    <mergeCell ref="MZH917506:MZM917506"/>
    <mergeCell ref="NJD917506:NJI917506"/>
    <mergeCell ref="NSZ917506:NTE917506"/>
    <mergeCell ref="OCV917506:ODA917506"/>
    <mergeCell ref="OMR917506:OMW917506"/>
    <mergeCell ref="OWN917506:OWS917506"/>
    <mergeCell ref="PGJ917506:PGO917506"/>
    <mergeCell ref="PQF917506:PQK917506"/>
    <mergeCell ref="QAB917506:QAG917506"/>
    <mergeCell ref="QJX917506:QKC917506"/>
    <mergeCell ref="QTT917506:QTY917506"/>
    <mergeCell ref="RDP917506:RDU917506"/>
    <mergeCell ref="RNL917506:RNQ917506"/>
    <mergeCell ref="RXH917506:RXM917506"/>
    <mergeCell ref="SHD917506:SHI917506"/>
    <mergeCell ref="SQZ917506:SRE917506"/>
    <mergeCell ref="TAV917506:TBA917506"/>
    <mergeCell ref="TKR917506:TKW917506"/>
    <mergeCell ref="TUN917506:TUS917506"/>
    <mergeCell ref="UEJ917506:UEO917506"/>
    <mergeCell ref="UOF917506:UOK917506"/>
    <mergeCell ref="UYB917506:UYG917506"/>
    <mergeCell ref="VHX917506:VIC917506"/>
    <mergeCell ref="VRT917506:VRY917506"/>
    <mergeCell ref="WBP917506:WBU917506"/>
    <mergeCell ref="WLL917506:WLQ917506"/>
    <mergeCell ref="WVH917506:WVM917506"/>
    <mergeCell ref="A983042:E983042"/>
    <mergeCell ref="IV983042:JA983042"/>
    <mergeCell ref="SR983042:SW983042"/>
    <mergeCell ref="ACN983042:ACS983042"/>
    <mergeCell ref="AMJ983042:AMO983042"/>
    <mergeCell ref="AWF983042:AWK983042"/>
    <mergeCell ref="BGB983042:BGG983042"/>
    <mergeCell ref="BPX983042:BQC983042"/>
    <mergeCell ref="BZT983042:BZY983042"/>
    <mergeCell ref="CJP983042:CJU983042"/>
    <mergeCell ref="CTL983042:CTQ983042"/>
    <mergeCell ref="DDH983042:DDM983042"/>
    <mergeCell ref="DND983042:DNI983042"/>
    <mergeCell ref="DWZ983042:DXE983042"/>
    <mergeCell ref="EGV983042:EHA983042"/>
    <mergeCell ref="EQR983042:EQW983042"/>
    <mergeCell ref="FAN983042:FAS983042"/>
    <mergeCell ref="FKJ983042:FKO983042"/>
    <mergeCell ref="FUF983042:FUK983042"/>
    <mergeCell ref="GEB983042:GEG983042"/>
    <mergeCell ref="GNX983042:GOC983042"/>
    <mergeCell ref="GXT983042:GXY983042"/>
    <mergeCell ref="HHP983042:HHU983042"/>
    <mergeCell ref="HRL983042:HRQ983042"/>
    <mergeCell ref="IBH983042:IBM983042"/>
    <mergeCell ref="ILD983042:ILI983042"/>
    <mergeCell ref="IUZ983042:IVE983042"/>
    <mergeCell ref="JEV983042:JFA983042"/>
    <mergeCell ref="JOR983042:JOW983042"/>
    <mergeCell ref="JYN983042:JYS983042"/>
    <mergeCell ref="KIJ983042:KIO983042"/>
    <mergeCell ref="KSF983042:KSK983042"/>
    <mergeCell ref="LCB983042:LCG983042"/>
    <mergeCell ref="LLX983042:LMC983042"/>
    <mergeCell ref="LVT983042:LVY983042"/>
    <mergeCell ref="MFP983042:MFU983042"/>
    <mergeCell ref="MPL983042:MPQ983042"/>
    <mergeCell ref="MZH983042:MZM983042"/>
    <mergeCell ref="NJD983042:NJI983042"/>
    <mergeCell ref="NSZ983042:NTE983042"/>
    <mergeCell ref="OCV983042:ODA983042"/>
    <mergeCell ref="OMR983042:OMW983042"/>
    <mergeCell ref="OWN983042:OWS983042"/>
    <mergeCell ref="PGJ983042:PGO983042"/>
    <mergeCell ref="PQF983042:PQK983042"/>
    <mergeCell ref="QAB983042:QAG983042"/>
    <mergeCell ref="QJX983042:QKC983042"/>
    <mergeCell ref="QTT983042:QTY983042"/>
    <mergeCell ref="RDP983042:RDU983042"/>
    <mergeCell ref="RNL983042:RNQ983042"/>
    <mergeCell ref="RXH983042:RXM983042"/>
    <mergeCell ref="SHD983042:SHI983042"/>
    <mergeCell ref="SQZ983042:SRE983042"/>
    <mergeCell ref="TAV983042:TBA983042"/>
    <mergeCell ref="TKR983042:TKW983042"/>
    <mergeCell ref="TUN983042:TUS983042"/>
    <mergeCell ref="UEJ983042:UEO983042"/>
    <mergeCell ref="UOF983042:UOK983042"/>
    <mergeCell ref="UYB983042:UYG983042"/>
    <mergeCell ref="VHX983042:VIC983042"/>
    <mergeCell ref="VRT983042:VRY983042"/>
    <mergeCell ref="WBP983042:WBU983042"/>
    <mergeCell ref="WLL983042:WLQ983042"/>
    <mergeCell ref="WVH983042:WVM983042"/>
  </mergeCells>
  <printOptions horizontalCentered="1"/>
  <pageMargins left="0.55" right="0.393055555555556" top="0.786805555555556" bottom="0.786805555555556" header="0.511805555555556" footer="0.511805555555556"/>
  <pageSetup paperSize="9" scale="110" firstPageNumber="68" orientation="landscape" useFirstPageNumber="1" errors="blank" horizontalDpi="600"/>
  <headerFooter>
    <oddFooter>&amp;C&amp;"Times New Roman"&amp;12—  &amp;P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1_5" rangeCreator="" othersAccessPermission="edit"/>
    <arrUserId title="区域1_5_2" rangeCreator="" othersAccessPermission="edit"/>
    <arrUserId title="区域1_5_8" rangeCreator="" othersAccessPermission="edit"/>
    <arrUserId title="区域1_5_10" rangeCreator="" othersAccessPermission="edit"/>
    <arrUserId title="区域1_5_5_1_1" rangeCreator="" othersAccessPermission="edit"/>
    <arrUserId title="区域1_5_5_1_4" rangeCreator="" othersAccessPermission="edit"/>
    <arrUserId title="区域1_5_5_1_5_1" rangeCreator="" othersAccessPermission="edit"/>
    <arrUserId title="区域1_5_5_1_6" rangeCreator="" othersAccessPermission="edit"/>
    <arrUserId title="区域1_5_5_1_8" rangeCreator="" othersAccessPermission="edit"/>
    <arrUserId title="区域1_5_5_1_10" rangeCreator="" othersAccessPermission="edit"/>
    <arrUserId title="区域1_5_5_1_11" rangeCreator="" othersAccessPermission="edit"/>
    <arrUserId title="区域1_5_5_1_13" rangeCreator="" othersAccessPermission="edit"/>
    <arrUserId title="区域1_5_5_1_15" rangeCreator="" othersAccessPermission="edit"/>
    <arrUserId title="区域1_5_5_1_16" rangeCreator="" othersAccessPermission="edit"/>
    <arrUserId title="区域1_5_5_1_18" rangeCreator="" othersAccessPermission="edit"/>
    <arrUserId title="区域1_5_5_1_19" rangeCreator="" othersAccessPermission="edit"/>
    <arrUserId title="区域1_5_5_1_20" rangeCreator="" othersAccessPermission="edit"/>
    <arrUserId title="区域1_5_5_1_1_1" rangeCreator="" othersAccessPermission="edit"/>
    <arrUserId title="区域1_5_5_1_1_5" rangeCreator="" othersAccessPermission="edit"/>
    <arrUserId title="区域1_5_5_1_1_6" rangeCreator="" othersAccessPermission="edit"/>
    <arrUserId title="区域1_5_5_1_1_8" rangeCreator="" othersAccessPermission="edit"/>
    <arrUserId title="区域1_5_5_1_1_10" rangeCreator="" othersAccessPermission="edit"/>
    <arrUserId title="区域1_5_5_1_1_14" rangeCreator="" othersAccessPermission="edit"/>
    <arrUserId title="区域1_5_5_1_1_16" rangeCreator="" othersAccessPermission="edit"/>
    <arrUserId title="区域1_5_5_1_1_18" rangeCreator="" othersAccessPermission="edit"/>
    <arrUserId title="区域1_5_1" rangeCreator="" othersAccessPermission="edit"/>
  </rangeList>
  <rangeList sheetStid="2" master=""/>
  <rangeList sheetStid="3" master=""/>
  <rangeList sheetStid="4" master=""/>
  <rangeList sheetStid="5" master=""/>
  <rangeList sheetStid="6" master=""/>
  <rangeList sheetStid="7" master=""/>
  <rangeList sheetStid="8" master=""/>
  <rangeList sheetStid="14" master=""/>
  <rangeList sheetStid="18" master=""/>
  <rangeList sheetStid="19" master=""/>
  <rangeList sheetStid="15" master=""/>
  <rangeList sheetStid="16" master=""/>
  <rangeList sheetStid="17" master=""/>
  <rangeList sheetStid="9" master=""/>
  <rangeList sheetStid="10" master=""/>
  <rangeList sheetStid="11" master=""/>
  <rangeList sheetStid="12" master=""/>
  <rangeList sheetStid="13" master=""/>
  <rangeList sheetStid="21" master=""/>
  <rangeList sheetStid="20" master=""/>
  <rangeList sheetStid="22" master=""/>
  <rangeList sheetStid="23" master=""/>
  <rangeList sheetStid="24" master=""/>
  <rangeList sheetStid="25"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25</vt:i4>
      </vt:variant>
    </vt:vector>
  </HeadingPairs>
  <TitlesOfParts>
    <vt:vector size="25" baseType="lpstr">
      <vt:lpstr>1.2021年一般公共预算收入预测表</vt:lpstr>
      <vt:lpstr>2.2021年一般公共预算财力预测表</vt:lpstr>
      <vt:lpstr>3.2021年一般公共预算支出表</vt:lpstr>
      <vt:lpstr>4.2021年一般公共预算本级支出表</vt:lpstr>
      <vt:lpstr>5.2021年一般公共预算本级基本支出表－工资福利支出</vt:lpstr>
      <vt:lpstr>6.2021年一般公共预算基本支出表－一般商品和服务支出</vt:lpstr>
      <vt:lpstr>7.2021年一般公共预算基本支出表－对个人和家庭的补助</vt:lpstr>
      <vt:lpstr>8.2021年一般公共预算税收返还和转移支付表</vt:lpstr>
      <vt:lpstr>9.社会保险基金预算总表</vt:lpstr>
      <vt:lpstr>10.社会保险基金预算收入表</vt:lpstr>
      <vt:lpstr>11.社会保险基金预算支出表</vt:lpstr>
      <vt:lpstr>12.城乡居民基本养老收支预算表</vt:lpstr>
      <vt:lpstr>13.机关事业单位基本养老收支预算表</vt:lpstr>
      <vt:lpstr>14.失业保险基金收支预算表</vt:lpstr>
      <vt:lpstr>15.2021年政府性基金收入预算表</vt:lpstr>
      <vt:lpstr>16.2021年政府性基金支出预算表</vt:lpstr>
      <vt:lpstr>17.2021年政府性基金转移支付表</vt:lpstr>
      <vt:lpstr>18.2021年国有资本经营收入预算表</vt:lpstr>
      <vt:lpstr>19.2021年国有资本经营支出预算表</vt:lpstr>
      <vt:lpstr>20.2021年区级扶贫资金安排分配情况表</vt:lpstr>
      <vt:lpstr>21.2021年芦淞区专项转移支付分项目分地区预算明细表</vt:lpstr>
      <vt:lpstr>22.政府一般债务限额和余额情况表</vt:lpstr>
      <vt:lpstr>23.政府专项债务限额和余额情况表</vt:lpstr>
      <vt:lpstr>24.2021年新增政府一般债券安排情况表</vt:lpstr>
      <vt:lpstr>25.2021年区本级“三公”经费预算财政拨款情况统计表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绮梦1369367186</cp:lastModifiedBy>
  <dcterms:created xsi:type="dcterms:W3CDTF">2021-07-28T01:59:00Z</dcterms:created>
  <dcterms:modified xsi:type="dcterms:W3CDTF">2022-09-13T03:54:32Z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C0E17911547E45BF9E4B40345B73E6F4</vt:lpwstr>
  </property>
</Properties>
</file>